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8810" yWindow="0" windowWidth="19590" windowHeight="16440"/>
  </bookViews>
  <sheets>
    <sheet name="Overview" sheetId="6" r:id="rId1"/>
    <sheet name="2020 Budget vs 2020 Actual" sheetId="3" r:id="rId2"/>
    <sheet name="2019 Balance vs 2020 Balance" sheetId="2" r:id="rId3"/>
    <sheet name="2021 Budget vs 2020 Actual" sheetId="4" r:id="rId4"/>
  </sheets>
  <externalReferences>
    <externalReference r:id="rId5"/>
  </externalReferences>
  <definedNames>
    <definedName name="_xlnm.Print_Area" localSheetId="0">Overview!$A$1:$J$56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0" i="4" l="1"/>
  <c r="F51" i="4"/>
  <c r="F52" i="4"/>
  <c r="F53" i="4"/>
  <c r="F49" i="4"/>
  <c r="F46" i="4"/>
  <c r="F42" i="4"/>
  <c r="F43" i="4"/>
  <c r="F44" i="4"/>
  <c r="F45" i="4"/>
  <c r="F41" i="4"/>
  <c r="F38" i="4"/>
  <c r="F35" i="4"/>
  <c r="F32" i="4"/>
  <c r="F33" i="4"/>
  <c r="F34" i="4"/>
  <c r="F31" i="4"/>
  <c r="F27" i="4"/>
  <c r="F28" i="4"/>
  <c r="F26" i="4"/>
  <c r="F25" i="4"/>
  <c r="F24" i="4"/>
  <c r="F21" i="4"/>
  <c r="F20" i="4"/>
  <c r="F19" i="4"/>
  <c r="F18" i="4"/>
  <c r="F17" i="4"/>
  <c r="F16" i="4"/>
  <c r="F14" i="4"/>
  <c r="F11" i="4"/>
  <c r="F10" i="4"/>
  <c r="F9" i="4"/>
  <c r="F8" i="4"/>
  <c r="F7" i="4"/>
  <c r="E12" i="4"/>
  <c r="B16" i="2" l="1"/>
  <c r="C16" i="2"/>
  <c r="D16" i="2" s="1"/>
  <c r="C72" i="2"/>
  <c r="B72" i="2"/>
  <c r="C71" i="2"/>
  <c r="E71" i="2" s="1"/>
  <c r="B71" i="2"/>
  <c r="C70" i="2"/>
  <c r="B70" i="2"/>
  <c r="D70" i="2" s="1"/>
  <c r="C68" i="2"/>
  <c r="E68" i="2" s="1"/>
  <c r="B68" i="2"/>
  <c r="B69" i="2" s="1"/>
  <c r="E67" i="2"/>
  <c r="C65" i="2"/>
  <c r="B65" i="2"/>
  <c r="C64" i="2"/>
  <c r="B64" i="2"/>
  <c r="D64" i="2" s="1"/>
  <c r="C63" i="2"/>
  <c r="E63" i="2" s="1"/>
  <c r="B63" i="2"/>
  <c r="C62" i="2"/>
  <c r="E62" i="2" s="1"/>
  <c r="B62" i="2"/>
  <c r="C61" i="2"/>
  <c r="B61" i="2"/>
  <c r="E60" i="2"/>
  <c r="C58" i="2"/>
  <c r="E58" i="2" s="1"/>
  <c r="B58" i="2"/>
  <c r="C57" i="2"/>
  <c r="B57" i="2"/>
  <c r="E56" i="2"/>
  <c r="C55" i="2"/>
  <c r="B55" i="2"/>
  <c r="C54" i="2"/>
  <c r="E54" i="2" s="1"/>
  <c r="B54" i="2"/>
  <c r="C49" i="2"/>
  <c r="B49" i="2"/>
  <c r="C48" i="2"/>
  <c r="B48" i="2"/>
  <c r="D48" i="2" s="1"/>
  <c r="C47" i="2"/>
  <c r="B47" i="2"/>
  <c r="E46" i="2"/>
  <c r="C46" i="2"/>
  <c r="B46" i="2"/>
  <c r="D46" i="2" s="1"/>
  <c r="C45" i="2"/>
  <c r="B45" i="2"/>
  <c r="C44" i="2"/>
  <c r="B44" i="2"/>
  <c r="D44" i="2" s="1"/>
  <c r="C43" i="2"/>
  <c r="E43" i="2" s="1"/>
  <c r="B43" i="2"/>
  <c r="C42" i="2"/>
  <c r="B42" i="2"/>
  <c r="C41" i="2"/>
  <c r="B41" i="2"/>
  <c r="C40" i="2"/>
  <c r="B40" i="2"/>
  <c r="D40" i="2" s="1"/>
  <c r="C39" i="2"/>
  <c r="B39" i="2"/>
  <c r="C38" i="2"/>
  <c r="B38" i="2"/>
  <c r="C35" i="2"/>
  <c r="C36" i="2" s="1"/>
  <c r="E36" i="2" s="1"/>
  <c r="B35" i="2"/>
  <c r="B36" i="2" s="1"/>
  <c r="C28" i="2"/>
  <c r="B28" i="2"/>
  <c r="C27" i="2"/>
  <c r="B27" i="2"/>
  <c r="D27" i="2" s="1"/>
  <c r="C26" i="2"/>
  <c r="B26" i="2"/>
  <c r="C21" i="2"/>
  <c r="B21" i="2"/>
  <c r="C20" i="2"/>
  <c r="B20" i="2"/>
  <c r="C19" i="2"/>
  <c r="B19" i="2"/>
  <c r="E18" i="2"/>
  <c r="C18" i="2"/>
  <c r="B18" i="2"/>
  <c r="E17" i="2"/>
  <c r="C13" i="2"/>
  <c r="C14" i="2" s="1"/>
  <c r="E14" i="2" s="1"/>
  <c r="B13" i="2"/>
  <c r="B14" i="2" s="1"/>
  <c r="C10" i="2"/>
  <c r="B10" i="2"/>
  <c r="C9" i="2"/>
  <c r="B9" i="2"/>
  <c r="D9" i="2" s="1"/>
  <c r="C57" i="3"/>
  <c r="B57" i="3"/>
  <c r="D57" i="3" s="1"/>
  <c r="C56" i="3"/>
  <c r="B56" i="3"/>
  <c r="E56" i="3" s="1"/>
  <c r="C55" i="3"/>
  <c r="B55" i="3"/>
  <c r="D55" i="3" s="1"/>
  <c r="C54" i="3"/>
  <c r="B54" i="3"/>
  <c r="E54" i="3" s="1"/>
  <c r="C53" i="3"/>
  <c r="C58" i="3" s="1"/>
  <c r="B53" i="3"/>
  <c r="B58" i="3" s="1"/>
  <c r="E58" i="3" s="1"/>
  <c r="C50" i="3"/>
  <c r="B50" i="3"/>
  <c r="D50" i="3" s="1"/>
  <c r="C49" i="3"/>
  <c r="B49" i="3"/>
  <c r="E49" i="3" s="1"/>
  <c r="C48" i="3"/>
  <c r="B48" i="3"/>
  <c r="D48" i="3" s="1"/>
  <c r="C47" i="3"/>
  <c r="B47" i="3"/>
  <c r="E47" i="3" s="1"/>
  <c r="C46" i="3"/>
  <c r="B46" i="3"/>
  <c r="D46" i="3" s="1"/>
  <c r="C45" i="3"/>
  <c r="C51" i="3" s="1"/>
  <c r="B45" i="3"/>
  <c r="E45" i="3" s="1"/>
  <c r="C42" i="3"/>
  <c r="B42" i="3"/>
  <c r="E42" i="3" s="1"/>
  <c r="C41" i="3"/>
  <c r="C43" i="3" s="1"/>
  <c r="B41" i="3"/>
  <c r="B43" i="3" s="1"/>
  <c r="E43" i="3" s="1"/>
  <c r="C38" i="3"/>
  <c r="B38" i="3"/>
  <c r="D38" i="3" s="1"/>
  <c r="C37" i="3"/>
  <c r="B37" i="3"/>
  <c r="E37" i="3" s="1"/>
  <c r="C36" i="3"/>
  <c r="B36" i="3"/>
  <c r="D36" i="3" s="1"/>
  <c r="C35" i="3"/>
  <c r="B35" i="3"/>
  <c r="E35" i="3" s="1"/>
  <c r="C34" i="3"/>
  <c r="B34" i="3"/>
  <c r="D34" i="3" s="1"/>
  <c r="C33" i="3"/>
  <c r="C39" i="3" s="1"/>
  <c r="B33" i="3"/>
  <c r="E33" i="3" s="1"/>
  <c r="C30" i="3"/>
  <c r="B30" i="3"/>
  <c r="E30" i="3" s="1"/>
  <c r="C29" i="3"/>
  <c r="B29" i="3"/>
  <c r="E29" i="3" s="1"/>
  <c r="C28" i="3"/>
  <c r="B28" i="3"/>
  <c r="E28" i="3" s="1"/>
  <c r="C27" i="3"/>
  <c r="B27" i="3"/>
  <c r="D27" i="3" s="1"/>
  <c r="C26" i="3"/>
  <c r="B26" i="3"/>
  <c r="E26" i="3" s="1"/>
  <c r="C25" i="3"/>
  <c r="C31" i="3" s="1"/>
  <c r="B25" i="3"/>
  <c r="D25" i="3" s="1"/>
  <c r="C22" i="3"/>
  <c r="B22" i="3"/>
  <c r="D22" i="3" s="1"/>
  <c r="C21" i="3"/>
  <c r="B21" i="3"/>
  <c r="E21" i="3" s="1"/>
  <c r="C20" i="3"/>
  <c r="B20" i="3"/>
  <c r="E20" i="3" s="1"/>
  <c r="C19" i="3"/>
  <c r="B19" i="3"/>
  <c r="E19" i="3" s="1"/>
  <c r="C18" i="3"/>
  <c r="B18" i="3"/>
  <c r="D18" i="3" s="1"/>
  <c r="C17" i="3"/>
  <c r="C23" i="3" s="1"/>
  <c r="B17" i="3"/>
  <c r="E17" i="3" s="1"/>
  <c r="C15" i="3"/>
  <c r="B15" i="3"/>
  <c r="D15" i="3" s="1"/>
  <c r="C12" i="3"/>
  <c r="B12" i="3"/>
  <c r="D12" i="3" s="1"/>
  <c r="C11" i="3"/>
  <c r="B11" i="3"/>
  <c r="E11" i="3" s="1"/>
  <c r="C10" i="3"/>
  <c r="B10" i="3"/>
  <c r="E10" i="3" s="1"/>
  <c r="C9" i="3"/>
  <c r="B9" i="3"/>
  <c r="E9" i="3" s="1"/>
  <c r="C8" i="3"/>
  <c r="B8" i="3"/>
  <c r="D8" i="3" s="1"/>
  <c r="C7" i="3"/>
  <c r="C13" i="3" s="1"/>
  <c r="B7" i="3"/>
  <c r="E7" i="3" s="1"/>
  <c r="E55" i="2" l="1"/>
  <c r="E21" i="2"/>
  <c r="E48" i="2"/>
  <c r="E44" i="2"/>
  <c r="E42" i="2"/>
  <c r="E72" i="2"/>
  <c r="C29" i="2"/>
  <c r="D39" i="2"/>
  <c r="D54" i="2"/>
  <c r="E16" i="2"/>
  <c r="E20" i="2"/>
  <c r="E28" i="2"/>
  <c r="E70" i="2"/>
  <c r="E19" i="2"/>
  <c r="E27" i="2"/>
  <c r="C50" i="2"/>
  <c r="E50" i="2" s="1"/>
  <c r="E41" i="2"/>
  <c r="E64" i="2"/>
  <c r="D20" i="2"/>
  <c r="E38" i="2"/>
  <c r="D42" i="2"/>
  <c r="E45" i="2"/>
  <c r="E10" i="2"/>
  <c r="E49" i="2"/>
  <c r="D57" i="2"/>
  <c r="D62" i="2"/>
  <c r="E65" i="2"/>
  <c r="D35" i="2"/>
  <c r="D47" i="2"/>
  <c r="E40" i="2"/>
  <c r="D55" i="2"/>
  <c r="C69" i="2"/>
  <c r="E69" i="2" s="1"/>
  <c r="D10" i="2"/>
  <c r="B22" i="2"/>
  <c r="B23" i="2" s="1"/>
  <c r="D36" i="2"/>
  <c r="D45" i="2"/>
  <c r="D58" i="2"/>
  <c r="D65" i="2"/>
  <c r="E35" i="2"/>
  <c r="E39" i="2"/>
  <c r="E47" i="2"/>
  <c r="E57" i="2"/>
  <c r="C22" i="2"/>
  <c r="E9" i="2"/>
  <c r="D18" i="2"/>
  <c r="D21" i="2"/>
  <c r="D28" i="2"/>
  <c r="B50" i="2"/>
  <c r="D50" i="2" s="1"/>
  <c r="D43" i="2"/>
  <c r="D63" i="2"/>
  <c r="D71" i="2"/>
  <c r="D19" i="2"/>
  <c r="B29" i="2"/>
  <c r="D29" i="2" s="1"/>
  <c r="D38" i="2"/>
  <c r="D41" i="2"/>
  <c r="D49" i="2"/>
  <c r="B66" i="2"/>
  <c r="D68" i="2"/>
  <c r="D72" i="2"/>
  <c r="C66" i="2"/>
  <c r="D14" i="2"/>
  <c r="D13" i="2"/>
  <c r="B51" i="2"/>
  <c r="E13" i="2"/>
  <c r="C51" i="2"/>
  <c r="B11" i="2"/>
  <c r="D26" i="2"/>
  <c r="B59" i="2"/>
  <c r="D61" i="2"/>
  <c r="C11" i="2"/>
  <c r="E26" i="2"/>
  <c r="C59" i="2"/>
  <c r="E61" i="2"/>
  <c r="C59" i="3"/>
  <c r="C60" i="3" s="1"/>
  <c r="D10" i="3"/>
  <c r="D20" i="3"/>
  <c r="D29" i="3"/>
  <c r="D53" i="3"/>
  <c r="E15" i="3"/>
  <c r="E18" i="3"/>
  <c r="E22" i="3"/>
  <c r="E25" i="3"/>
  <c r="E27" i="3"/>
  <c r="E34" i="3"/>
  <c r="E36" i="3"/>
  <c r="E38" i="3"/>
  <c r="E41" i="3"/>
  <c r="E46" i="3"/>
  <c r="E48" i="3"/>
  <c r="E50" i="3"/>
  <c r="E53" i="3"/>
  <c r="E55" i="3"/>
  <c r="E57" i="3"/>
  <c r="B13" i="3"/>
  <c r="B23" i="3"/>
  <c r="E23" i="3" s="1"/>
  <c r="B39" i="3"/>
  <c r="E39" i="3" s="1"/>
  <c r="B51" i="3"/>
  <c r="E51" i="3" s="1"/>
  <c r="D41" i="3"/>
  <c r="E8" i="3"/>
  <c r="E12" i="3"/>
  <c r="D7" i="3"/>
  <c r="D13" i="3" s="1"/>
  <c r="D9" i="3"/>
  <c r="D11" i="3"/>
  <c r="D17" i="3"/>
  <c r="D19" i="3"/>
  <c r="D21" i="3"/>
  <c r="D26" i="3"/>
  <c r="D31" i="3" s="1"/>
  <c r="D28" i="3"/>
  <c r="D30" i="3"/>
  <c r="D33" i="3"/>
  <c r="D35" i="3"/>
  <c r="D37" i="3"/>
  <c r="D42" i="3"/>
  <c r="D45" i="3"/>
  <c r="D47" i="3"/>
  <c r="D49" i="3"/>
  <c r="D54" i="3"/>
  <c r="D56" i="3"/>
  <c r="B31" i="3"/>
  <c r="E31" i="3" s="1"/>
  <c r="D69" i="2" l="1"/>
  <c r="E66" i="2"/>
  <c r="E29" i="2"/>
  <c r="E22" i="2"/>
  <c r="D66" i="2"/>
  <c r="C23" i="2"/>
  <c r="E23" i="2" s="1"/>
  <c r="D22" i="2"/>
  <c r="D59" i="2"/>
  <c r="B73" i="2"/>
  <c r="E59" i="2"/>
  <c r="C73" i="2"/>
  <c r="C52" i="2"/>
  <c r="E51" i="2"/>
  <c r="E11" i="2"/>
  <c r="B52" i="2"/>
  <c r="D51" i="2"/>
  <c r="B24" i="2"/>
  <c r="D11" i="2"/>
  <c r="D51" i="3"/>
  <c r="D43" i="3"/>
  <c r="B59" i="3"/>
  <c r="E59" i="3" s="1"/>
  <c r="D23" i="3"/>
  <c r="D39" i="3"/>
  <c r="E13" i="3"/>
  <c r="D58" i="3"/>
  <c r="D59" i="3" l="1"/>
  <c r="D60" i="3" s="1"/>
  <c r="B60" i="3"/>
  <c r="E60" i="3" s="1"/>
  <c r="D23" i="2"/>
  <c r="C24" i="2"/>
  <c r="D24" i="2" s="1"/>
  <c r="E73" i="2"/>
  <c r="E24" i="2"/>
  <c r="C30" i="2"/>
  <c r="C74" i="2"/>
  <c r="E52" i="2"/>
  <c r="B30" i="2"/>
  <c r="D73" i="2"/>
  <c r="D52" i="2"/>
  <c r="B74" i="2"/>
  <c r="D30" i="2" l="1"/>
  <c r="D74" i="2"/>
  <c r="E74" i="2"/>
  <c r="E30" i="2"/>
  <c r="E22" i="4" l="1"/>
  <c r="E29" i="4" l="1"/>
  <c r="E36" i="4"/>
  <c r="E39" i="4"/>
  <c r="E47" i="4"/>
  <c r="E54" i="4"/>
  <c r="E55" i="4" l="1"/>
  <c r="E56" i="4" s="1"/>
  <c r="F54" i="4"/>
  <c r="F36" i="4"/>
  <c r="F22" i="4"/>
  <c r="F12" i="4"/>
  <c r="F29" i="4" l="1"/>
  <c r="F47" i="4"/>
  <c r="I24" i="4"/>
  <c r="H24" i="4"/>
  <c r="H43" i="4" l="1"/>
  <c r="I43" i="4" l="1"/>
  <c r="I51" i="4" l="1"/>
  <c r="I52" i="4"/>
  <c r="H44" i="4"/>
  <c r="H38" i="4"/>
  <c r="H32" i="4"/>
  <c r="I31" i="4"/>
  <c r="I18" i="4"/>
  <c r="H19" i="4"/>
  <c r="H14" i="4"/>
  <c r="I10" i="4"/>
  <c r="I35" i="4"/>
  <c r="H26" i="4"/>
  <c r="I21" i="4"/>
  <c r="H20" i="4"/>
  <c r="I16" i="4"/>
  <c r="H8" i="4"/>
  <c r="H7" i="4"/>
  <c r="I42" i="4"/>
  <c r="H9" i="4"/>
  <c r="H46" i="4"/>
  <c r="H49" i="4"/>
  <c r="I50" i="4"/>
  <c r="I27" i="4"/>
  <c r="I17" i="4"/>
  <c r="H45" i="4"/>
  <c r="H53" i="4"/>
  <c r="H28" i="4"/>
  <c r="H33" i="4"/>
  <c r="H11" i="4"/>
  <c r="I25" i="4"/>
  <c r="H34" i="4"/>
  <c r="I41" i="4"/>
  <c r="H50" i="4" l="1"/>
  <c r="I20" i="4"/>
  <c r="H17" i="4"/>
  <c r="H31" i="4"/>
  <c r="I11" i="4"/>
  <c r="I49" i="4"/>
  <c r="H25" i="4"/>
  <c r="H42" i="4"/>
  <c r="I32" i="4"/>
  <c r="H27" i="4"/>
  <c r="H41" i="4"/>
  <c r="I34" i="4"/>
  <c r="I7" i="4"/>
  <c r="I8" i="4"/>
  <c r="I45" i="4"/>
  <c r="I9" i="4"/>
  <c r="H35" i="4"/>
  <c r="I53" i="4"/>
  <c r="I46" i="4"/>
  <c r="I26" i="4"/>
  <c r="H51" i="4"/>
  <c r="H52" i="4"/>
  <c r="I38" i="4"/>
  <c r="H18" i="4"/>
  <c r="H16" i="4"/>
  <c r="I19" i="4"/>
  <c r="H21" i="4"/>
  <c r="I28" i="4"/>
  <c r="I44" i="4"/>
  <c r="I36" i="4"/>
  <c r="I33" i="4"/>
  <c r="H10" i="4"/>
  <c r="H22" i="4"/>
  <c r="I14" i="4"/>
  <c r="H36" i="4" l="1"/>
  <c r="I47" i="4"/>
  <c r="H47" i="4"/>
  <c r="I54" i="4"/>
  <c r="H54" i="4"/>
  <c r="H29" i="4"/>
  <c r="I29" i="4"/>
  <c r="I22" i="4"/>
  <c r="H12" i="4"/>
  <c r="I12" i="4"/>
  <c r="F39" i="4"/>
  <c r="H39" i="4" s="1"/>
  <c r="F55" i="4" l="1"/>
  <c r="F56" i="4" s="1"/>
  <c r="I56" i="4" s="1"/>
  <c r="I39" i="4"/>
  <c r="I55" i="4" l="1"/>
  <c r="H55" i="4"/>
  <c r="H56" i="4"/>
</calcChain>
</file>

<file path=xl/sharedStrings.xml><?xml version="1.0" encoding="utf-8"?>
<sst xmlns="http://schemas.openxmlformats.org/spreadsheetml/2006/main" count="197" uniqueCount="192">
  <si>
    <t>Income</t>
  </si>
  <si>
    <t>Total Income</t>
  </si>
  <si>
    <t>Net Income</t>
  </si>
  <si>
    <t>St. Paul's Episcopal Church</t>
  </si>
  <si>
    <t>ASSETS</t>
  </si>
  <si>
    <t xml:space="preserve">   Current Assets</t>
  </si>
  <si>
    <t xml:space="preserve">      Bank Accounts</t>
  </si>
  <si>
    <t xml:space="preserve">      Total Bank Accounts</t>
  </si>
  <si>
    <t xml:space="preserve">         11200 Petty Cash</t>
  </si>
  <si>
    <t xml:space="preserve">         11300 Investments</t>
  </si>
  <si>
    <t xml:space="preserve">            11310 E*Trade 3 mo CD (11/28/07)</t>
  </si>
  <si>
    <t xml:space="preserve">            11320 Schwab MM Fund</t>
  </si>
  <si>
    <t xml:space="preserve">         Total 11300 Investments</t>
  </si>
  <si>
    <t xml:space="preserve">   Total Current Assets</t>
  </si>
  <si>
    <t xml:space="preserve">   Fixed Assets</t>
  </si>
  <si>
    <t xml:space="preserve">      15010 Land</t>
  </si>
  <si>
    <t xml:space="preserve">      15020 Buildings</t>
  </si>
  <si>
    <t xml:space="preserve">      15060 Contents</t>
  </si>
  <si>
    <t xml:space="preserve">   Total Fixed Assets</t>
  </si>
  <si>
    <t>TOTAL ASSETS</t>
  </si>
  <si>
    <t>LIABILITIES AND EQUITY</t>
  </si>
  <si>
    <t xml:space="preserve">   Liabilities</t>
  </si>
  <si>
    <t xml:space="preserve">      Current Liabilities</t>
  </si>
  <si>
    <t xml:space="preserve">         Other Current Liabilities</t>
  </si>
  <si>
    <t xml:space="preserve">            32400 Accounts Payable</t>
  </si>
  <si>
    <t xml:space="preserve">            32500 Security Deposits</t>
  </si>
  <si>
    <t xml:space="preserve">            32600 Prepaid Pledges</t>
  </si>
  <si>
    <t xml:space="preserve">            32700 St. Anne's Guild</t>
  </si>
  <si>
    <t xml:space="preserve">            32800 Altar Guild</t>
  </si>
  <si>
    <t xml:space="preserve">            33000 Outreach Acct</t>
  </si>
  <si>
    <t xml:space="preserve">            33100 MCCS Breakfast</t>
  </si>
  <si>
    <t xml:space="preserve">            33200 Sabbatical Reserve</t>
  </si>
  <si>
    <t xml:space="preserve">         Total Other Current Liabilities</t>
  </si>
  <si>
    <t xml:space="preserve">      Total Current Liabilities</t>
  </si>
  <si>
    <t xml:space="preserve">   Total Liabilities</t>
  </si>
  <si>
    <t xml:space="preserve">   Equity</t>
  </si>
  <si>
    <t xml:space="preserve">      30000 Opening Bal Equity</t>
  </si>
  <si>
    <t xml:space="preserve">      32000 Unrestricted Net Assets</t>
  </si>
  <si>
    <t xml:space="preserve">      44000 Fixed Assets</t>
  </si>
  <si>
    <t xml:space="preserve">      45000 Surplus/(Deficit) YTD</t>
  </si>
  <si>
    <t xml:space="preserve">      Net Income</t>
  </si>
  <si>
    <t xml:space="preserve">   Total Equity</t>
  </si>
  <si>
    <t>TOTAL LIABILITIES AND EQUITY</t>
  </si>
  <si>
    <t>Variance $</t>
  </si>
  <si>
    <t>50200 · Gifts</t>
  </si>
  <si>
    <t>50300 · Plate</t>
  </si>
  <si>
    <t>50400 · Rent</t>
  </si>
  <si>
    <t>50900 · Interest</t>
  </si>
  <si>
    <t>Expense</t>
  </si>
  <si>
    <t>81000 · Diocese Assessment</t>
  </si>
  <si>
    <t>82000 · Clergy</t>
  </si>
  <si>
    <t>82010 · Rector's Salary</t>
  </si>
  <si>
    <t>82020 · Rector's Benefits</t>
  </si>
  <si>
    <t>82030 · Rector's Expenses</t>
  </si>
  <si>
    <t>82400 · Assisting Clergy</t>
  </si>
  <si>
    <t>82600 · Clergy Education</t>
  </si>
  <si>
    <t>82700 · Sabbatical</t>
  </si>
  <si>
    <t>Total 82000 · Clergy</t>
  </si>
  <si>
    <t>83000 · Worship</t>
  </si>
  <si>
    <t>83100 · Music Director's Salary</t>
  </si>
  <si>
    <t>83200 · Music Expenses</t>
  </si>
  <si>
    <t>83400 · Nursery Attendant</t>
  </si>
  <si>
    <t>83600 · Hospitality &amp; Fellowship</t>
  </si>
  <si>
    <t>83800 · Worship/Liturgy</t>
  </si>
  <si>
    <t>Total 83000 · Worship</t>
  </si>
  <si>
    <t>84000 · Education</t>
  </si>
  <si>
    <t>84110 · Children &amp; Family Ministry Sal.</t>
  </si>
  <si>
    <t>84120 · Youth Activities</t>
  </si>
  <si>
    <t>84400 · Vestry Education</t>
  </si>
  <si>
    <t>84900 · Awards/Recognition</t>
  </si>
  <si>
    <t>Total 84000 · Education</t>
  </si>
  <si>
    <t>85000 · Evangelism</t>
  </si>
  <si>
    <t>85100 · Advertising</t>
  </si>
  <si>
    <t>Total 85000 · Evangelism</t>
  </si>
  <si>
    <t>86000 · Administration</t>
  </si>
  <si>
    <t>86100 · Office Salaries/Benefits</t>
  </si>
  <si>
    <t>86200 · Office Supplies/Services</t>
  </si>
  <si>
    <t>86300 · Telecommunications</t>
  </si>
  <si>
    <t>86400 · Financial/Audit</t>
  </si>
  <si>
    <t>86500 · Stewardship</t>
  </si>
  <si>
    <t>Total 86000 · Administration</t>
  </si>
  <si>
    <t>87000 · Facilities</t>
  </si>
  <si>
    <t>87100 · Utilities</t>
  </si>
  <si>
    <t>87200 · Insurance/Taxes</t>
  </si>
  <si>
    <t>87300 · Maintenance/Repair</t>
  </si>
  <si>
    <t>87500 · Garden</t>
  </si>
  <si>
    <t>87600 · Cleaning Service</t>
  </si>
  <si>
    <t>Total 87000 · Facilities</t>
  </si>
  <si>
    <t>Total Expense</t>
  </si>
  <si>
    <t>Variance %</t>
  </si>
  <si>
    <t>% Change</t>
  </si>
  <si>
    <t xml:space="preserve">            33110 Restoration Account</t>
  </si>
  <si>
    <t xml:space="preserve">            33120 Marin Episcopal Youth Group</t>
  </si>
  <si>
    <t>84300 · Adult Education</t>
  </si>
  <si>
    <t>86250 · Communications Contractor</t>
  </si>
  <si>
    <t xml:space="preserve">      Other Current Assets</t>
  </si>
  <si>
    <t xml:space="preserve">      Total Other Current Assets</t>
  </si>
  <si>
    <t xml:space="preserve">            11335 Unrealized Gain/Loss</t>
  </si>
  <si>
    <t xml:space="preserve">            32650 Prepaid Rent</t>
  </si>
  <si>
    <t>50100 · Consecration Giving</t>
  </si>
  <si>
    <t>Profit &amp; Loss</t>
  </si>
  <si>
    <t>FY '20 Actual</t>
  </si>
  <si>
    <t>FY '20 Budget</t>
  </si>
  <si>
    <t>$ Variance</t>
  </si>
  <si>
    <t>% Variance</t>
  </si>
  <si>
    <t xml:space="preserve">   50100 Pledges</t>
  </si>
  <si>
    <t xml:space="preserve">   50200 Gifts</t>
  </si>
  <si>
    <t xml:space="preserve">   50300 Plate</t>
  </si>
  <si>
    <t xml:space="preserve">   50400 Rent</t>
  </si>
  <si>
    <t xml:space="preserve">   50600 Sale of E-Script</t>
  </si>
  <si>
    <t xml:space="preserve">   50900 Interest</t>
  </si>
  <si>
    <t>Expenses</t>
  </si>
  <si>
    <t xml:space="preserve">   81000 Diocese Assessment</t>
  </si>
  <si>
    <t xml:space="preserve">   82000 Clergy</t>
  </si>
  <si>
    <t xml:space="preserve">      82010 Rector's Salary</t>
  </si>
  <si>
    <t xml:space="preserve">      82020 Rector's Benefits</t>
  </si>
  <si>
    <t xml:space="preserve">      82030 Rector's Expenses</t>
  </si>
  <si>
    <t xml:space="preserve">      82400 Assisting Clergy</t>
  </si>
  <si>
    <t xml:space="preserve">      82600 Clergy Education</t>
  </si>
  <si>
    <t xml:space="preserve">      82700 Sabbatical</t>
  </si>
  <si>
    <t xml:space="preserve">   Total 82000 Clergy</t>
  </si>
  <si>
    <t xml:space="preserve">   83000 Worship</t>
  </si>
  <si>
    <t xml:space="preserve">      83100 Music Director</t>
  </si>
  <si>
    <t xml:space="preserve">      83200 Music Expenses</t>
  </si>
  <si>
    <t xml:space="preserve">      83300 Junior Choir Expenses</t>
  </si>
  <si>
    <t xml:space="preserve">      83400 Nursery Attendant</t>
  </si>
  <si>
    <t xml:space="preserve">      83600 Hospitality &amp; Fellowship</t>
  </si>
  <si>
    <t xml:space="preserve">      83800 Worship/Liturgy</t>
  </si>
  <si>
    <t xml:space="preserve">   Total 83000 Worship</t>
  </si>
  <si>
    <t xml:space="preserve">   84000 Education</t>
  </si>
  <si>
    <t xml:space="preserve">      84110 Children &amp; Family Ministry</t>
  </si>
  <si>
    <t xml:space="preserve">      84120 Youth Activities</t>
  </si>
  <si>
    <t xml:space="preserve">      84300 Adult Education</t>
  </si>
  <si>
    <t xml:space="preserve">      84400 Vestry Education</t>
  </si>
  <si>
    <t xml:space="preserve">      84500 Retreats</t>
  </si>
  <si>
    <t xml:space="preserve">      84900 Awards/Recognition</t>
  </si>
  <si>
    <t xml:space="preserve">   Total 84000 Education</t>
  </si>
  <si>
    <t xml:space="preserve">   85000 Evangelism</t>
  </si>
  <si>
    <t xml:space="preserve">      85100 Advertising</t>
  </si>
  <si>
    <t xml:space="preserve">      85200 Newsletter</t>
  </si>
  <si>
    <t xml:space="preserve">   Total 85000 Evangelism</t>
  </si>
  <si>
    <t xml:space="preserve">   86000 Administration</t>
  </si>
  <si>
    <t xml:space="preserve">      86100 Office Salaries/Benefits</t>
  </si>
  <si>
    <t xml:space="preserve">      86200 Office Supplies/Services</t>
  </si>
  <si>
    <t xml:space="preserve">      86250 Communications Contractor</t>
  </si>
  <si>
    <t xml:space="preserve">      86300 Communication</t>
  </si>
  <si>
    <t xml:space="preserve">      86400 Financiald/Audit</t>
  </si>
  <si>
    <t xml:space="preserve">      86500 Stewardship</t>
  </si>
  <si>
    <t xml:space="preserve">   Total 86000 Administration</t>
  </si>
  <si>
    <t xml:space="preserve">   87000 Facilities</t>
  </si>
  <si>
    <t xml:space="preserve">      87100 Utilities</t>
  </si>
  <si>
    <t xml:space="preserve">      87200 Insurance/Taxes</t>
  </si>
  <si>
    <t xml:space="preserve">      87300 Maintenance/Repair</t>
  </si>
  <si>
    <t xml:space="preserve">      87500 Garden</t>
  </si>
  <si>
    <t xml:space="preserve">      87600 Cleaning Service</t>
  </si>
  <si>
    <t xml:space="preserve">   Total 87000 Facilities</t>
  </si>
  <si>
    <t>Total Expenses</t>
  </si>
  <si>
    <t>Actual 2020 vs. Budget 2020</t>
  </si>
  <si>
    <t>St Paul's Episcopal Church</t>
  </si>
  <si>
    <t xml:space="preserve">Balance Sheet Comparison </t>
  </si>
  <si>
    <t>As of Dec 31, 2020</t>
  </si>
  <si>
    <t>As of Dec 31, 2019 (PY)</t>
  </si>
  <si>
    <t>Change</t>
  </si>
  <si>
    <t xml:space="preserve">         11100  Cash in Checking</t>
  </si>
  <si>
    <t xml:space="preserve">         11101 Discretionary Fund Checking</t>
  </si>
  <si>
    <t xml:space="preserve">      Accounts Receivable</t>
  </si>
  <si>
    <t xml:space="preserve">         11000 Accounts Receivable</t>
  </si>
  <si>
    <t xml:space="preserve">      Total Accounts Receivable</t>
  </si>
  <si>
    <t xml:space="preserve">            11330 Equity Funds</t>
  </si>
  <si>
    <t xml:space="preserve">         Accounts Payable</t>
  </si>
  <si>
    <t xml:space="preserve">            20000 *Accounts Payable</t>
  </si>
  <si>
    <t xml:space="preserve">         Total Accounts Payable</t>
  </si>
  <si>
    <t xml:space="preserve">            33140 New College of Christian Practi</t>
  </si>
  <si>
    <t xml:space="preserve">      41000 Unrestricted Equity</t>
  </si>
  <si>
    <t xml:space="preserve">         33000 Unrealized Gain/Loss/Other Rese</t>
  </si>
  <si>
    <t xml:space="preserve">         41200 Operational Reserves</t>
  </si>
  <si>
    <t xml:space="preserve">      Total 41000 Unrestricted Equity</t>
  </si>
  <si>
    <t xml:space="preserve">      42000 Temporarily Restricted Equity</t>
  </si>
  <si>
    <t xml:space="preserve">         42100 Maintenance Reserve</t>
  </si>
  <si>
    <t xml:space="preserve">         42100 SPRIF III Fund</t>
  </si>
  <si>
    <t xml:space="preserve">         43200 Memorial Fund</t>
  </si>
  <si>
    <t xml:space="preserve">         43300 Memorial Garden Fund</t>
  </si>
  <si>
    <t xml:space="preserve">         43400 Music Fund</t>
  </si>
  <si>
    <t xml:space="preserve">      Total 42000 Temporarily Restricted Equity</t>
  </si>
  <si>
    <t xml:space="preserve">      43000 Permanently Restricted Equity</t>
  </si>
  <si>
    <t xml:space="preserve">         43100 Endowment Fund</t>
  </si>
  <si>
    <t xml:space="preserve">      Total 43000 Permanently Restricted Equity</t>
  </si>
  <si>
    <t>Balance 2020 vs. Balance 2019</t>
  </si>
  <si>
    <t>Budget 2021 vs. Actual 2020</t>
  </si>
  <si>
    <t>2021 Budget</t>
  </si>
  <si>
    <t>2020 Actual</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</si>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</sst>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_(&quot;$&quot;* #,##0_);_(&quot;$&quot;* \(#,##0\);_(&quot;$&quot;* &quot;-&quot;??_);_(@_)"/>
    <numFmt numFmtId="165" formatCode="[$-409]mmm\-yy;@"/>
    <numFmt numFmtId="166" formatCode="0.0%"/>
    <numFmt numFmtId="167" formatCode="&quot;$&quot;* #,##0.00"/>
    <numFmt numFmtId="168" formatCode="#,##0.00\ _€"/>
    <numFmt numFmtId="169" formatCode="_(* #,##0_);_(* \(#,##0\);_(* &quot;-&quot;??_);_(@_)"/>
    <numFmt numFmtId="170" formatCode="#,##0\ _€"/>
  </numFmts>
  <fonts count="22" x14ac:knownFonts="1">
    <font>
      <sz val="10"/>
      <name val="Arial"/>
    </font>
    <font>
      <sz val="10"/>
      <name val="Arial"/>
      <family val="2"/>
    </font>
    <font>
      <b/>
      <sz val="10"/>
      <name val="Arial"/>
      <family val="2"/>
    </font>
    <font>
      <sz val="10"/>
      <name val="Arial"/>
      <family val="2"/>
    </font>
    <font>
      <b/>
      <sz val="12"/>
      <name val="Arial"/>
      <family val="2"/>
    </font>
    <font>
      <sz val="12"/>
      <name val="Arial"/>
      <family val="2"/>
    </font>
    <font>
      <b/>
      <sz val="10"/>
      <color indexed="8"/>
      <name val="Arial"/>
      <family val="2"/>
    </font>
    <font>
      <sz val="10"/>
      <color indexed="8"/>
      <name val="Arial"/>
      <family val="2"/>
    </font>
    <font>
      <b/>
      <sz val="14"/>
      <name val="Arial"/>
      <family val="2"/>
    </font>
    <font>
      <sz val="10"/>
      <color theme="1"/>
      <name val="Calibri"/>
      <family val="2"/>
      <scheme val="minor"/>
    </font>
    <font>
      <b/>
      <sz val="10"/>
      <color indexed="8"/>
      <name val="Calibri"/>
      <family val="2"/>
      <scheme val="minor"/>
    </font>
    <font>
      <sz val="10"/>
      <color theme="1"/>
      <name val="Arial"/>
      <family val="2"/>
    </font>
    <font>
      <b/>
      <sz val="10"/>
      <color theme="1"/>
      <name val="Arial"/>
      <family val="2"/>
    </font>
    <font>
      <sz val="10"/>
      <name val="Arial"/>
    </font>
    <font>
      <b/>
      <sz val="9"/>
      <name val="Arial"/>
      <family val="2"/>
    </font>
    <font>
      <b/>
      <sz val="8"/>
      <name val="Arial"/>
      <family val="2"/>
    </font>
    <font>
      <sz val="8"/>
      <name val="Arial"/>
      <family val="2"/>
    </font>
    <font>
      <b/>
      <sz val="14"/>
      <color indexed="8"/>
      <name val="Arial"/>
    </font>
    <font>
      <b/>
      <sz val="10"/>
      <color indexed="8"/>
      <name val="Arial"/>
    </font>
    <font>
      <b/>
      <sz val="9"/>
      <color indexed="8"/>
      <name val="Arial"/>
    </font>
    <font>
      <b/>
      <sz val="8"/>
      <color indexed="8"/>
      <name val="Arial"/>
    </font>
    <font>
      <sz val="8"/>
      <color indexed="8"/>
      <name val="Arial"/>
    </font>
  </fonts>
  <fills count="2">
    <fill>
      <patternFill patternType="none"/>
    </fill>
    <fill>
      <patternFill patternType="gray125"/>
    </fill>
  </fills>
  <borders count="9">
    <border>
      <left/>
      <right/>
      <top/>
      <bottom/>
      <diagonal/>
    </border>
    <border>
      <left/>
      <right/>
      <top style="thick">
        <color indexed="64"/>
      </top>
      <bottom style="thick">
        <color indexed="64"/>
      </bottom>
      <diagonal/>
    </border>
    <border>
      <left/>
      <right/>
      <top style="medium">
        <color indexed="64"/>
      </top>
      <bottom/>
      <diagonal/>
    </border>
    <border>
      <left/>
      <right/>
      <top style="medium">
        <color indexed="64"/>
      </top>
      <bottom style="double">
        <color indexed="64"/>
      </bottom>
      <diagonal/>
    </border>
    <border>
      <left/>
      <right/>
      <top style="thick">
        <color indexed="64"/>
      </top>
      <bottom/>
      <diagonal/>
    </border>
    <border>
      <left/>
      <right/>
      <top/>
      <bottom style="thin">
        <color indexed="8"/>
      </bottom>
      <diagonal/>
    </border>
    <border>
      <left/>
      <right/>
      <top style="thin">
        <color indexed="8"/>
      </top>
      <bottom/>
      <diagonal/>
    </border>
    <border>
      <left/>
      <right/>
      <top/>
      <bottom style="thin">
        <color auto="1"/>
      </bottom>
      <diagonal/>
    </border>
    <border>
      <left/>
      <right/>
      <top style="thin">
        <color auto="1"/>
      </top>
      <bottom/>
      <diagonal/>
    </border>
  </borders>
  <cellStyleXfs count="5">
    <xf numFmtId="0" fontId="0" fillId="0" borderId="0"/>
    <xf numFmtId="44" fontId="1" fillId="0" borderId="0" applyFont="0" applyFill="0" applyBorder="0" applyAlignment="0" applyProtection="0"/>
    <xf numFmtId="0" fontId="3" fillId="0" borderId="0"/>
    <xf numFmtId="9" fontId="1" fillId="0" borderId="0" applyFont="0" applyFill="0" applyBorder="0" applyAlignment="0" applyProtection="0"/>
    <xf numFmtId="43" fontId="13" fillId="0" borderId="0" applyFont="0" applyFill="0" applyBorder="0" applyAlignment="0" applyProtection="0"/>
  </cellStyleXfs>
  <cellXfs count="61">
    <xf numFmtId="0" fontId="0" fillId="0" borderId="0" xfId="0"/>
    <xf numFmtId="0" fontId="9" fillId="0" borderId="0" xfId="0" applyFont="1"/>
    <xf numFmtId="49" fontId="10" fillId="0" borderId="0" xfId="0" applyNumberFormat="1" applyFont="1"/>
    <xf numFmtId="49" fontId="6" fillId="0" borderId="0" xfId="0" applyNumberFormat="1" applyFont="1"/>
    <xf numFmtId="0" fontId="9" fillId="0" borderId="0" xfId="0" applyFont="1" applyAlignment="1">
      <alignment horizontal="center"/>
    </xf>
    <xf numFmtId="49" fontId="10" fillId="0" borderId="0" xfId="0" applyNumberFormat="1" applyFont="1" applyAlignment="1">
      <alignment horizontal="center"/>
    </xf>
    <xf numFmtId="49" fontId="6" fillId="0" borderId="0" xfId="0" applyNumberFormat="1" applyFont="1" applyAlignment="1">
      <alignment horizontal="center"/>
    </xf>
    <xf numFmtId="165" fontId="6" fillId="0" borderId="1" xfId="0" applyNumberFormat="1" applyFont="1" applyBorder="1" applyAlignment="1">
      <alignment horizontal="center"/>
    </xf>
    <xf numFmtId="164" fontId="7" fillId="0" borderId="0" xfId="1" applyNumberFormat="1" applyFont="1"/>
    <xf numFmtId="164" fontId="3" fillId="0" borderId="0" xfId="1" applyNumberFormat="1" applyFont="1"/>
    <xf numFmtId="164" fontId="11" fillId="0" borderId="0" xfId="1" applyNumberFormat="1" applyFont="1"/>
    <xf numFmtId="0" fontId="6" fillId="0" borderId="0" xfId="0" applyFont="1"/>
    <xf numFmtId="164" fontId="11" fillId="0" borderId="3" xfId="1" applyNumberFormat="1" applyFont="1" applyBorder="1"/>
    <xf numFmtId="0" fontId="10" fillId="0" borderId="0" xfId="0" applyNumberFormat="1" applyFont="1"/>
    <xf numFmtId="0" fontId="6" fillId="0" borderId="0" xfId="0" applyNumberFormat="1" applyFont="1"/>
    <xf numFmtId="0" fontId="5" fillId="0" borderId="0" xfId="0" applyFont="1"/>
    <xf numFmtId="0" fontId="12" fillId="0" borderId="1" xfId="0" applyFont="1" applyBorder="1" applyAlignment="1">
      <alignment horizontal="center"/>
    </xf>
    <xf numFmtId="0" fontId="11" fillId="0" borderId="4" xfId="0" applyFont="1" applyBorder="1"/>
    <xf numFmtId="0" fontId="11" fillId="0" borderId="0" xfId="0" applyFont="1" applyBorder="1"/>
    <xf numFmtId="166" fontId="11" fillId="0" borderId="0" xfId="3" applyNumberFormat="1" applyFont="1"/>
    <xf numFmtId="166" fontId="11" fillId="0" borderId="3" xfId="3" applyNumberFormat="1" applyFont="1" applyBorder="1"/>
    <xf numFmtId="164" fontId="3" fillId="0" borderId="2" xfId="1" applyNumberFormat="1" applyFont="1" applyBorder="1"/>
    <xf numFmtId="164" fontId="11" fillId="0" borderId="2" xfId="1" applyNumberFormat="1" applyFont="1" applyBorder="1"/>
    <xf numFmtId="166" fontId="11" fillId="0" borderId="2" xfId="3" applyNumberFormat="1" applyFont="1" applyBorder="1"/>
    <xf numFmtId="166" fontId="11" fillId="0" borderId="0" xfId="3" applyNumberFormat="1" applyFont="1" applyBorder="1"/>
    <xf numFmtId="0" fontId="0" fillId="0" borderId="0" xfId="0"/>
    <xf numFmtId="164" fontId="7" fillId="0" borderId="0" xfId="1" applyNumberFormat="1" applyFont="1" applyAlignment="1">
      <alignment horizontal="right" wrapText="1"/>
    </xf>
    <xf numFmtId="0" fontId="0" fillId="0" borderId="0" xfId="0" applyAlignment="1">
      <alignment wrapText="1"/>
    </xf>
    <xf numFmtId="0" fontId="14" fillId="0" borderId="5" xfId="0" applyFont="1" applyBorder="1" applyAlignment="1">
      <alignment horizontal="center" wrapText="1"/>
    </xf>
    <xf numFmtId="0" fontId="15" fillId="0" borderId="0" xfId="0" applyFont="1" applyAlignment="1">
      <alignment horizontal="left" wrapText="1"/>
    </xf>
    <xf numFmtId="4" fontId="16" fillId="0" borderId="0" xfId="0" applyNumberFormat="1" applyFont="1" applyAlignment="1">
      <alignment wrapText="1"/>
    </xf>
    <xf numFmtId="43" fontId="16" fillId="0" borderId="0" xfId="4" applyFont="1" applyAlignment="1">
      <alignment horizontal="right" wrapText="1"/>
    </xf>
    <xf numFmtId="9" fontId="16" fillId="0" borderId="0" xfId="3" applyFont="1" applyAlignment="1">
      <alignment horizontal="right" wrapText="1"/>
    </xf>
    <xf numFmtId="167" fontId="15" fillId="0" borderId="6" xfId="0" applyNumberFormat="1" applyFont="1" applyBorder="1" applyAlignment="1">
      <alignment horizontal="right" wrapText="1"/>
    </xf>
    <xf numFmtId="9" fontId="15" fillId="0" borderId="6" xfId="3" applyFont="1" applyBorder="1" applyAlignment="1">
      <alignment horizontal="right" wrapText="1"/>
    </xf>
    <xf numFmtId="9" fontId="16" fillId="0" borderId="0" xfId="3" applyFont="1" applyAlignment="1">
      <alignment wrapText="1"/>
    </xf>
    <xf numFmtId="43" fontId="16" fillId="0" borderId="0" xfId="4" applyFont="1" applyAlignment="1">
      <alignment wrapText="1"/>
    </xf>
    <xf numFmtId="0" fontId="19" fillId="0" borderId="7" xfId="0" applyFont="1" applyBorder="1" applyAlignment="1">
      <alignment horizontal="center" wrapText="1"/>
    </xf>
    <xf numFmtId="0" fontId="20" fillId="0" borderId="0" xfId="0" applyFont="1" applyAlignment="1">
      <alignment horizontal="left" wrapText="1"/>
    </xf>
    <xf numFmtId="168" fontId="21" fillId="0" borderId="0" xfId="0" applyNumberFormat="1" applyFont="1" applyAlignment="1">
      <alignment wrapText="1"/>
    </xf>
    <xf numFmtId="10" fontId="21" fillId="0" borderId="0" xfId="0" applyNumberFormat="1" applyFont="1" applyAlignment="1">
      <alignment horizontal="right" wrapText="1"/>
    </xf>
    <xf numFmtId="10" fontId="20" fillId="0" borderId="8" xfId="0" applyNumberFormat="1" applyFont="1" applyBorder="1" applyAlignment="1">
      <alignment horizontal="right" wrapText="1"/>
    </xf>
    <xf numFmtId="164" fontId="12" fillId="0" borderId="3" xfId="1" applyNumberFormat="1" applyFont="1" applyFill="1" applyBorder="1"/>
    <xf numFmtId="169" fontId="16" fillId="0" borderId="0" xfId="4" applyNumberFormat="1" applyFont="1" applyAlignment="1">
      <alignment horizontal="right" wrapText="1"/>
    </xf>
    <xf numFmtId="169" fontId="15" fillId="0" borderId="6" xfId="0" applyNumberFormat="1" applyFont="1" applyBorder="1" applyAlignment="1">
      <alignment horizontal="right" wrapText="1"/>
    </xf>
    <xf numFmtId="169" fontId="16" fillId="0" borderId="0" xfId="0" applyNumberFormat="1" applyFont="1" applyAlignment="1">
      <alignment wrapText="1"/>
    </xf>
    <xf numFmtId="169" fontId="16" fillId="0" borderId="0" xfId="4" applyNumberFormat="1" applyFont="1" applyAlignment="1">
      <alignment wrapText="1"/>
    </xf>
    <xf numFmtId="170" fontId="21" fillId="0" borderId="0" xfId="0" applyNumberFormat="1" applyFont="1" applyAlignment="1">
      <alignment horizontal="right" wrapText="1"/>
    </xf>
    <xf numFmtId="170" fontId="20" fillId="0" borderId="8" xfId="0" applyNumberFormat="1" applyFont="1" applyBorder="1" applyAlignment="1">
      <alignment horizontal="right" wrapText="1"/>
    </xf>
    <xf numFmtId="170" fontId="21" fillId="0" borderId="0" xfId="0" applyNumberFormat="1" applyFont="1" applyAlignment="1">
      <alignment wrapText="1"/>
    </xf>
    <xf numFmtId="0" fontId="16" fillId="0" borderId="0" xfId="0" applyFont="1" applyAlignment="1">
      <alignment horizontal="center"/>
    </xf>
    <xf numFmtId="0" fontId="8" fillId="0" borderId="0" xfId="0" applyFont="1" applyAlignment="1">
      <alignment horizontal="center"/>
    </xf>
    <xf numFmtId="0" fontId="2" fillId="0" borderId="0" xfId="0" applyFont="1" applyAlignment="1">
      <alignment horizontal="center"/>
    </xf>
    <xf numFmtId="0" fontId="21" fillId="0" borderId="0" xfId="0" applyFont="1" applyAlignment="1">
      <alignment horizontal="center"/>
    </xf>
    <xf numFmtId="0" fontId="0" fillId="0" borderId="0" xfId="0"/>
    <xf numFmtId="0" fontId="17" fillId="0" borderId="0" xfId="0" applyFont="1" applyAlignment="1">
      <alignment horizontal="center"/>
    </xf>
    <xf numFmtId="0" fontId="18" fillId="0" borderId="0" xfId="0" applyFont="1" applyAlignment="1">
      <alignment horizontal="center"/>
    </xf>
    <xf numFmtId="0" fontId="3" fillId="0" borderId="0" xfId="0" applyFont="1"/>
    <xf numFmtId="0" fontId="4" fillId="0" borderId="0" xfId="0" applyFont="1" applyAlignment="1">
      <alignment horizontal="center"/>
    </xf>
    <xf numFmtId="0" fontId="5" fillId="0" borderId="0" xfId="0" applyFont="1"/>
    <xf numFmtId="170" fontId="0" fillId="0" borderId="0" xfId="0" applyNumberFormat="1"/>
  </cellXfs>
  <cellStyles count="5">
    <cellStyle name="Comma" xfId="4" builtinId="3"/>
    <cellStyle name="Currency" xfId="1" builtinId="4"/>
    <cellStyle name="Normal" xfId="0" builtinId="0"/>
    <cellStyle name="Normal 2"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600075</xdr:colOff>
      <xdr:row>54</xdr:row>
      <xdr:rowOff>57150</xdr:rowOff>
    </xdr:to>
    <xdr:sp macro="" textlink="">
      <xdr:nvSpPr>
        <xdr:cNvPr id="2" name="Text Box 1"/>
        <xdr:cNvSpPr txBox="1"/>
      </xdr:nvSpPr>
      <xdr:spPr>
        <a:xfrm>
          <a:off x="0" y="323850"/>
          <a:ext cx="6086475" cy="8477250"/>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07000"/>
            </a:lnSpc>
            <a:spcBef>
              <a:spcPts val="0"/>
            </a:spcBef>
            <a:spcAft>
              <a:spcPts val="0"/>
            </a:spcAft>
          </a:pPr>
          <a:r>
            <a:rPr lang="en-US" sz="1600">
              <a:effectLst/>
              <a:latin typeface="Arial"/>
              <a:ea typeface="Times New Roman"/>
              <a:cs typeface="Times New Roman"/>
            </a:rPr>
            <a:t>The St. Pauls 2020 Annual Financial Report</a:t>
          </a:r>
          <a:endParaRPr lang="en-US" sz="1100">
            <a:effectLst/>
            <a:latin typeface="Calibri"/>
            <a:ea typeface="Calibri"/>
            <a:cs typeface="Times New Roman"/>
          </a:endParaRPr>
        </a:p>
        <a:p>
          <a:pPr marL="0" marR="0">
            <a:lnSpc>
              <a:spcPct val="107000"/>
            </a:lnSpc>
            <a:spcBef>
              <a:spcPts val="0"/>
            </a:spcBef>
            <a:spcAft>
              <a:spcPts val="0"/>
            </a:spcAft>
          </a:pPr>
          <a:r>
            <a:rPr lang="en-US" sz="1000">
              <a:effectLst/>
              <a:latin typeface="Arial"/>
              <a:ea typeface="Times New Roman"/>
              <a:cs typeface="Times New Roman"/>
            </a:rPr>
            <a:t> </a:t>
          </a:r>
          <a:endParaRPr lang="en-US" sz="1100">
            <a:effectLst/>
            <a:latin typeface="Calibri"/>
            <a:ea typeface="Calibri"/>
            <a:cs typeface="Times New Roman"/>
          </a:endParaRPr>
        </a:p>
        <a:p>
          <a:pPr marL="0" marR="0">
            <a:lnSpc>
              <a:spcPct val="107000"/>
            </a:lnSpc>
            <a:spcBef>
              <a:spcPts val="0"/>
            </a:spcBef>
            <a:spcAft>
              <a:spcPts val="0"/>
            </a:spcAft>
          </a:pPr>
          <a:r>
            <a:rPr lang="en-US" sz="1000" b="1">
              <a:effectLst/>
              <a:latin typeface="Arial"/>
              <a:ea typeface="Times New Roman"/>
              <a:cs typeface="Times New Roman"/>
            </a:rPr>
            <a:t>A new tenant in the school space creates new opportunities and new financial challenges in the years to come.</a:t>
          </a:r>
          <a:endParaRPr lang="en-US" sz="1100">
            <a:effectLst/>
            <a:latin typeface="Calibri"/>
            <a:ea typeface="Calibri"/>
            <a:cs typeface="Times New Roman"/>
          </a:endParaRPr>
        </a:p>
        <a:p>
          <a:pPr marL="0" marR="0">
            <a:lnSpc>
              <a:spcPct val="107000"/>
            </a:lnSpc>
            <a:spcBef>
              <a:spcPts val="0"/>
            </a:spcBef>
            <a:spcAft>
              <a:spcPts val="0"/>
            </a:spcAft>
          </a:pPr>
          <a:r>
            <a:rPr lang="en-US" sz="1000" b="1">
              <a:effectLst/>
              <a:latin typeface="Arial"/>
              <a:ea typeface="Times New Roman"/>
              <a:cs typeface="Times New Roman"/>
            </a:rPr>
            <a:t> </a:t>
          </a:r>
          <a:endParaRPr lang="en-US" sz="1100">
            <a:effectLst/>
            <a:latin typeface="Calibri"/>
            <a:ea typeface="Calibri"/>
            <a:cs typeface="Times New Roman"/>
          </a:endParaRPr>
        </a:p>
        <a:p>
          <a:pPr marL="0" marR="0">
            <a:lnSpc>
              <a:spcPct val="107000"/>
            </a:lnSpc>
            <a:spcBef>
              <a:spcPts val="0"/>
            </a:spcBef>
            <a:spcAft>
              <a:spcPts val="0"/>
            </a:spcAft>
          </a:pPr>
          <a:r>
            <a:rPr lang="en-US" sz="1000">
              <a:effectLst/>
              <a:latin typeface="Arial"/>
              <a:ea typeface="Times New Roman"/>
              <a:cs typeface="Times New Roman"/>
            </a:rPr>
            <a:t>With the closing of the Marin Day School (MDS) this fall, St. Pauls Church (SPC) was presented with a significant challenge trying to find a new tenant for our space in the midst of a pandemic.  We are very fortunate to have found Community Action </a:t>
          </a:r>
          <a:r>
            <a:rPr lang="en-US" sz="1100">
              <a:effectLst/>
              <a:latin typeface="+mn-lt"/>
              <a:ea typeface="+mn-ea"/>
              <a:cs typeface="+mn-cs"/>
            </a:rPr>
            <a:t>Marin </a:t>
          </a:r>
          <a:r>
            <a:rPr lang="en-US" sz="1000">
              <a:effectLst/>
              <a:latin typeface="Arial"/>
              <a:ea typeface="Times New Roman"/>
              <a:cs typeface="Times New Roman"/>
            </a:rPr>
            <a:t> (CAM) - a decades old San Rafael based nonprofit organization - that has both the means and the desire to take over the space ASAP. This change in tenants has however created a significant financial challenge due to the fact that MCA’s clientele (mostly low income) and its funding (mostly government) prevents them from paying the same level of rent as MDS.  On average the church will bring in ~$60,000 less per year in rent with this new lease.</a:t>
          </a:r>
          <a:endParaRPr lang="en-US" sz="1100">
            <a:effectLst/>
            <a:latin typeface="Calibri"/>
            <a:ea typeface="Calibri"/>
            <a:cs typeface="Times New Roman"/>
          </a:endParaRPr>
        </a:p>
        <a:p>
          <a:pPr marL="0" marR="0">
            <a:lnSpc>
              <a:spcPct val="107000"/>
            </a:lnSpc>
            <a:spcBef>
              <a:spcPts val="0"/>
            </a:spcBef>
            <a:spcAft>
              <a:spcPts val="0"/>
            </a:spcAft>
          </a:pPr>
          <a:r>
            <a:rPr lang="en-US" sz="1000">
              <a:effectLst/>
              <a:latin typeface="Arial"/>
              <a:ea typeface="Times New Roman"/>
              <a:cs typeface="Times New Roman"/>
            </a:rPr>
            <a:t> </a:t>
          </a:r>
          <a:endParaRPr lang="en-US" sz="1100">
            <a:effectLst/>
            <a:latin typeface="Calibri"/>
            <a:ea typeface="Calibri"/>
            <a:cs typeface="Times New Roman"/>
          </a:endParaRPr>
        </a:p>
        <a:p>
          <a:pPr marL="0" marR="0">
            <a:lnSpc>
              <a:spcPct val="107000"/>
            </a:lnSpc>
            <a:spcBef>
              <a:spcPts val="0"/>
            </a:spcBef>
            <a:spcAft>
              <a:spcPts val="0"/>
            </a:spcAft>
          </a:pPr>
          <a:r>
            <a:rPr lang="en-US" sz="1000">
              <a:effectLst/>
              <a:latin typeface="Arial"/>
              <a:ea typeface="Times New Roman"/>
              <a:cs typeface="Times New Roman"/>
            </a:rPr>
            <a:t>The very good news for the near term is that Bright Horizons (the large cooperation that owns MDS) has honored the commitments of their current lease (which runs through August of 2023) and has made a one-time payment to SPC in late 2020 that covers all of the rental shortfalls that will occur over the next 2 ½ years.  This payment gives SPC an invaluable financial cushion while our church community decides how to best rebalance our budget for the years to come.</a:t>
          </a:r>
          <a:endParaRPr lang="en-US" sz="1100">
            <a:effectLst/>
            <a:latin typeface="Calibri"/>
            <a:ea typeface="Calibri"/>
            <a:cs typeface="Times New Roman"/>
          </a:endParaRPr>
        </a:p>
        <a:p>
          <a:pPr marL="0" marR="0">
            <a:lnSpc>
              <a:spcPct val="107000"/>
            </a:lnSpc>
            <a:spcBef>
              <a:spcPts val="0"/>
            </a:spcBef>
            <a:spcAft>
              <a:spcPts val="0"/>
            </a:spcAft>
          </a:pPr>
          <a:r>
            <a:rPr lang="en-US" sz="1000">
              <a:effectLst/>
              <a:latin typeface="Arial"/>
              <a:ea typeface="Times New Roman"/>
              <a:cs typeface="Times New Roman"/>
            </a:rPr>
            <a:t> </a:t>
          </a:r>
          <a:endParaRPr lang="en-US" sz="1100">
            <a:effectLst/>
            <a:latin typeface="Calibri"/>
            <a:ea typeface="Calibri"/>
            <a:cs typeface="Times New Roman"/>
          </a:endParaRPr>
        </a:p>
        <a:p>
          <a:pPr marL="0" marR="0">
            <a:lnSpc>
              <a:spcPct val="107000"/>
            </a:lnSpc>
            <a:spcBef>
              <a:spcPts val="0"/>
            </a:spcBef>
            <a:spcAft>
              <a:spcPts val="800"/>
            </a:spcAft>
          </a:pPr>
          <a:r>
            <a:rPr lang="en-US" sz="1000">
              <a:effectLst/>
              <a:latin typeface="Arial"/>
              <a:ea typeface="Times New Roman"/>
              <a:cs typeface="Times New Roman"/>
            </a:rPr>
            <a:t>Father Christopher, the Vestry and I feel that it is never too early to start saving for a rainy day.  So instead of simply relying on this one-time payment to cover all of our usual expenses in the near term, the Vestry has approved some judicious cuts in the 2021 budget that will give us even more financial flexibility going forward.</a:t>
          </a:r>
          <a:endParaRPr lang="en-US" sz="1100">
            <a:effectLst/>
            <a:latin typeface="Calibri"/>
            <a:ea typeface="Calibri"/>
            <a:cs typeface="Times New Roman"/>
          </a:endParaRPr>
        </a:p>
        <a:p>
          <a:pPr marL="0" marR="0">
            <a:lnSpc>
              <a:spcPct val="107000"/>
            </a:lnSpc>
            <a:spcBef>
              <a:spcPts val="0"/>
            </a:spcBef>
            <a:spcAft>
              <a:spcPts val="800"/>
            </a:spcAft>
          </a:pPr>
          <a:r>
            <a:rPr lang="en-US" sz="1000">
              <a:effectLst/>
              <a:latin typeface="Arial"/>
              <a:ea typeface="Times New Roman"/>
              <a:cs typeface="Times New Roman"/>
            </a:rPr>
            <a:t>With all this information as context, here are some of the highlights on our financial reports:</a:t>
          </a:r>
          <a:endParaRPr lang="en-US" sz="1100">
            <a:effectLst/>
            <a:latin typeface="Calibri"/>
            <a:ea typeface="Calibri"/>
            <a:cs typeface="Times New Roman"/>
          </a:endParaRPr>
        </a:p>
        <a:p>
          <a:pPr marL="342900" marR="0" lvl="0" indent="-342900">
            <a:lnSpc>
              <a:spcPct val="107000"/>
            </a:lnSpc>
            <a:spcBef>
              <a:spcPts val="0"/>
            </a:spcBef>
            <a:spcAft>
              <a:spcPts val="0"/>
            </a:spcAft>
            <a:buFont typeface="+mj-lt"/>
            <a:buAutoNum type="arabicPeriod"/>
          </a:pPr>
          <a:r>
            <a:rPr lang="en-US" sz="1000">
              <a:effectLst/>
              <a:latin typeface="Arial"/>
              <a:ea typeface="Times New Roman"/>
              <a:cs typeface="Times New Roman"/>
            </a:rPr>
            <a:t>You will notice a significant surplus ($116,037) in our results for 2020.  This is due almost entirely to the one-time payment we received from MDS.</a:t>
          </a:r>
          <a:endParaRPr lang="en-US" sz="1100">
            <a:effectLst/>
            <a:latin typeface="Calibri"/>
            <a:ea typeface="Calibri"/>
            <a:cs typeface="Times New Roman"/>
          </a:endParaRPr>
        </a:p>
        <a:p>
          <a:pPr marL="342900" marR="0" lvl="0" indent="-342900">
            <a:lnSpc>
              <a:spcPct val="107000"/>
            </a:lnSpc>
            <a:spcBef>
              <a:spcPts val="0"/>
            </a:spcBef>
            <a:spcAft>
              <a:spcPts val="0"/>
            </a:spcAft>
            <a:buFont typeface="+mj-lt"/>
            <a:buAutoNum type="arabicPeriod"/>
          </a:pPr>
          <a:r>
            <a:rPr lang="en-US" sz="1000">
              <a:effectLst/>
              <a:latin typeface="Arial"/>
              <a:ea typeface="Times New Roman"/>
              <a:cs typeface="Times New Roman"/>
            </a:rPr>
            <a:t>There is also a significant deficit ($36,709) projected in the 2021 budget.  This is due to the reduced rent from our new lease as well as the fact that there is no school rent in January (the MCA lease starts in Feb).  We also do not think there will be any rent from our smaller spaces until next fall at the earliest.</a:t>
          </a:r>
          <a:endParaRPr lang="en-US" sz="1100">
            <a:effectLst/>
            <a:latin typeface="Calibri"/>
            <a:ea typeface="Calibri"/>
            <a:cs typeface="Times New Roman"/>
          </a:endParaRPr>
        </a:p>
        <a:p>
          <a:pPr marL="342900" marR="0" lvl="0" indent="-342900">
            <a:lnSpc>
              <a:spcPct val="107000"/>
            </a:lnSpc>
            <a:spcBef>
              <a:spcPts val="0"/>
            </a:spcBef>
            <a:spcAft>
              <a:spcPts val="0"/>
            </a:spcAft>
            <a:buFont typeface="+mj-lt"/>
            <a:buAutoNum type="arabicPeriod"/>
          </a:pPr>
          <a:r>
            <a:rPr lang="en-US" sz="1000">
              <a:effectLst/>
              <a:latin typeface="Arial"/>
              <a:ea typeface="Times New Roman"/>
              <a:cs typeface="Times New Roman"/>
            </a:rPr>
            <a:t>To reduce our projected loss for 2021 there have also been several significant cuts to the expenses:</a:t>
          </a:r>
          <a:endParaRPr lang="en-US" sz="1100">
            <a:effectLst/>
            <a:latin typeface="Calibri"/>
            <a:ea typeface="Calibri"/>
            <a:cs typeface="Times New Roman"/>
          </a:endParaRPr>
        </a:p>
        <a:p>
          <a:pPr marL="742950" marR="0" lvl="1" indent="-285750">
            <a:lnSpc>
              <a:spcPct val="107000"/>
            </a:lnSpc>
            <a:spcBef>
              <a:spcPts val="0"/>
            </a:spcBef>
            <a:spcAft>
              <a:spcPts val="0"/>
            </a:spcAft>
            <a:buFont typeface="+mj-lt"/>
            <a:buAutoNum type="alphaLcPeriod"/>
          </a:pPr>
          <a:r>
            <a:rPr lang="en-US" sz="1000">
              <a:effectLst/>
              <a:latin typeface="Arial"/>
              <a:ea typeface="Times New Roman"/>
              <a:cs typeface="Times New Roman"/>
            </a:rPr>
            <a:t>Father Christopher offered (and the Vestry accepted) to reduce his schedule from 6 days a week to 5.  This reduction in hours comes with a commensurate reduction in compensation.</a:t>
          </a:r>
          <a:endParaRPr lang="en-US" sz="1100">
            <a:effectLst/>
            <a:latin typeface="Calibri"/>
            <a:ea typeface="Calibri"/>
            <a:cs typeface="Times New Roman"/>
          </a:endParaRPr>
        </a:p>
        <a:p>
          <a:pPr marL="742950" marR="0" lvl="1" indent="-285750">
            <a:lnSpc>
              <a:spcPct val="107000"/>
            </a:lnSpc>
            <a:spcBef>
              <a:spcPts val="0"/>
            </a:spcBef>
            <a:spcAft>
              <a:spcPts val="0"/>
            </a:spcAft>
            <a:buFont typeface="+mj-lt"/>
            <a:buAutoNum type="alphaLcPeriod"/>
          </a:pPr>
          <a:r>
            <a:rPr lang="en-US" sz="1000">
              <a:effectLst/>
              <a:latin typeface="Arial"/>
              <a:ea typeface="Times New Roman"/>
              <a:cs typeface="Times New Roman"/>
            </a:rPr>
            <a:t>We have suspended contributions of a % of the Consecration Giving revenue to the Outreach Fund for 2021.  This fund ended 2020 with over $30,000 in the bank and so we feel that the Outreach Committee will have plenty of resources to continue its valuable work in 2021.</a:t>
          </a:r>
          <a:endParaRPr lang="en-US" sz="1100">
            <a:effectLst/>
            <a:latin typeface="Calibri"/>
            <a:ea typeface="Calibri"/>
            <a:cs typeface="Times New Roman"/>
          </a:endParaRPr>
        </a:p>
        <a:p>
          <a:pPr marL="742950" marR="0" lvl="1" indent="-285750">
            <a:lnSpc>
              <a:spcPct val="107000"/>
            </a:lnSpc>
            <a:spcBef>
              <a:spcPts val="0"/>
            </a:spcBef>
            <a:spcAft>
              <a:spcPts val="0"/>
            </a:spcAft>
            <a:buFont typeface="+mj-lt"/>
            <a:buAutoNum type="alphaLcPeriod"/>
          </a:pPr>
          <a:r>
            <a:rPr lang="en-US" sz="1000">
              <a:effectLst/>
              <a:latin typeface="Arial"/>
              <a:ea typeface="Times New Roman"/>
              <a:cs typeface="Times New Roman"/>
            </a:rPr>
            <a:t>There will be a significant reduction in the amount of professional cleaning services at the church.  Given the light use that the campus is currently receiving this was judged a relatively easy area in which to cut back.</a:t>
          </a:r>
          <a:endParaRPr lang="en-US" sz="1100">
            <a:effectLst/>
            <a:latin typeface="Calibri"/>
            <a:ea typeface="Calibri"/>
            <a:cs typeface="Times New Roman"/>
          </a:endParaRPr>
        </a:p>
        <a:p>
          <a:pPr marL="342900" marR="0" lvl="0" indent="-342900">
            <a:lnSpc>
              <a:spcPct val="107000"/>
            </a:lnSpc>
            <a:spcBef>
              <a:spcPts val="0"/>
            </a:spcBef>
            <a:spcAft>
              <a:spcPts val="0"/>
            </a:spcAft>
            <a:buFont typeface="+mj-lt"/>
            <a:buAutoNum type="arabicPeriod"/>
          </a:pPr>
          <a:r>
            <a:rPr lang="en-US" sz="1000">
              <a:effectLst/>
              <a:latin typeface="Arial"/>
              <a:ea typeface="Times New Roman"/>
              <a:cs typeface="Times New Roman"/>
            </a:rPr>
            <a:t>There are several positive numbers that appear on our year ending balance sheet:</a:t>
          </a:r>
          <a:endParaRPr lang="en-US" sz="1100">
            <a:effectLst/>
            <a:latin typeface="Calibri"/>
            <a:ea typeface="Calibri"/>
            <a:cs typeface="Times New Roman"/>
          </a:endParaRPr>
        </a:p>
        <a:p>
          <a:pPr marL="742950" marR="0" lvl="1" indent="-285750">
            <a:lnSpc>
              <a:spcPct val="107000"/>
            </a:lnSpc>
            <a:spcBef>
              <a:spcPts val="0"/>
            </a:spcBef>
            <a:spcAft>
              <a:spcPts val="0"/>
            </a:spcAft>
            <a:buFont typeface="+mj-lt"/>
            <a:buAutoNum type="alphaLcPeriod"/>
          </a:pPr>
          <a:r>
            <a:rPr lang="en-US" sz="1000">
              <a:effectLst/>
              <a:latin typeface="Arial"/>
              <a:ea typeface="Times New Roman"/>
              <a:cs typeface="Times New Roman"/>
            </a:rPr>
            <a:t>SPC is ending 2020 with ~$230k more in liquid assets than we started the year.  This is due to continued strong returns from the church’s investment funds as well as the payment from MDS.  Our cash situation has rarely been stronger - which is a good thing as we enter this new era of financial uncertainty.</a:t>
          </a:r>
          <a:endParaRPr lang="en-US" sz="1100">
            <a:effectLst/>
            <a:latin typeface="Calibri"/>
            <a:ea typeface="Calibri"/>
            <a:cs typeface="Times New Roman"/>
          </a:endParaRPr>
        </a:p>
        <a:p>
          <a:pPr marL="742950" marR="0" lvl="1" indent="-285750">
            <a:lnSpc>
              <a:spcPct val="107000"/>
            </a:lnSpc>
            <a:spcBef>
              <a:spcPts val="0"/>
            </a:spcBef>
            <a:spcAft>
              <a:spcPts val="800"/>
            </a:spcAft>
            <a:buFont typeface="+mj-lt"/>
            <a:buAutoNum type="alphaLcPeriod"/>
          </a:pPr>
          <a:r>
            <a:rPr lang="en-US" sz="1000">
              <a:effectLst/>
              <a:latin typeface="Arial"/>
              <a:ea typeface="Times New Roman"/>
              <a:cs typeface="Times New Roman"/>
            </a:rPr>
            <a:t>Due to a variety of upgrades and “surprises” at our campus we ended 2019 with a significant negative balance in our Maintenance Reserve fund.  Due to a relatively “surprise” free year at the campus and a significant deposit into the fund as part of the MDS payment, this fund ends 2020 close to break even.</a:t>
          </a:r>
          <a:endParaRPr lang="en-US" sz="1100">
            <a:effectLst/>
            <a:latin typeface="Calibri"/>
            <a:ea typeface="Calibri"/>
            <a:cs typeface="Times New Roman"/>
          </a:endParaRPr>
        </a:p>
        <a:p>
          <a:pPr marL="0" marR="0">
            <a:lnSpc>
              <a:spcPct val="107000"/>
            </a:lnSpc>
            <a:spcBef>
              <a:spcPts val="0"/>
            </a:spcBef>
            <a:spcAft>
              <a:spcPts val="800"/>
            </a:spcAft>
          </a:pPr>
          <a:r>
            <a:rPr lang="en-US" sz="1100">
              <a:effectLst/>
              <a:latin typeface="Calibri"/>
              <a:ea typeface="Calibri"/>
              <a:cs typeface="Times New Roman"/>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20Paul's/Downloads/SPC%20BvA%202020%20Master%2012.3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Balance Sheets"/>
      <sheetName val="Balance Sheets"/>
      <sheetName val="Profit &amp; Loss Annual BvA"/>
      <sheetName val="Profit &amp; Loss Jan-Nov BvA"/>
      <sheetName val="Profit &amp; Loss Q1-3 BvA"/>
      <sheetName val="Profit &amp; Loss Q1-2 BvA"/>
      <sheetName val="Profit &amp; Loss Jan-Apr BvA"/>
      <sheetName val="Profit &amp; Loss Q1 BvA"/>
      <sheetName val="Profit &amp; Loss Quarterly BvA"/>
      <sheetName val="Profit &amp; Loss Quarterly"/>
      <sheetName val="Profit &amp; Loss Monthly"/>
      <sheetName val="Current Actuals"/>
      <sheetName val="FY '20 Budget"/>
      <sheetName val="Budget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B7">
            <v>43159</v>
          </cell>
          <cell r="C7">
            <v>51975.011086226201</v>
          </cell>
          <cell r="G7">
            <v>51702.67</v>
          </cell>
          <cell r="H7">
            <v>49715.22799552072</v>
          </cell>
          <cell r="L7">
            <v>34291</v>
          </cell>
          <cell r="M7">
            <v>45195.661814109742</v>
          </cell>
          <cell r="Q7">
            <v>51845.15</v>
          </cell>
          <cell r="R7">
            <v>54912.729104143335</v>
          </cell>
        </row>
        <row r="8">
          <cell r="B8">
            <v>3310.4</v>
          </cell>
          <cell r="C8">
            <v>2250</v>
          </cell>
          <cell r="G8">
            <v>3230</v>
          </cell>
          <cell r="H8">
            <v>2250</v>
          </cell>
          <cell r="L8">
            <v>8606</v>
          </cell>
          <cell r="M8">
            <v>4500</v>
          </cell>
          <cell r="Q8">
            <v>7300</v>
          </cell>
          <cell r="R8">
            <v>11000</v>
          </cell>
        </row>
        <row r="9">
          <cell r="B9">
            <v>453.1</v>
          </cell>
          <cell r="C9">
            <v>1500</v>
          </cell>
          <cell r="G9">
            <v>0</v>
          </cell>
          <cell r="H9">
            <v>1500</v>
          </cell>
          <cell r="L9">
            <v>10</v>
          </cell>
          <cell r="M9">
            <v>1500</v>
          </cell>
          <cell r="Q9">
            <v>0</v>
          </cell>
          <cell r="R9">
            <v>1500</v>
          </cell>
        </row>
        <row r="10">
          <cell r="B10">
            <v>31963.97</v>
          </cell>
          <cell r="C10">
            <v>32742</v>
          </cell>
          <cell r="G10">
            <v>29745.97</v>
          </cell>
          <cell r="H10">
            <v>32742</v>
          </cell>
          <cell r="L10">
            <v>29396.09</v>
          </cell>
          <cell r="M10">
            <v>33069.42</v>
          </cell>
          <cell r="Q10">
            <v>140389.01999999999</v>
          </cell>
          <cell r="R10">
            <v>33724.26</v>
          </cell>
        </row>
        <row r="11">
          <cell r="B11">
            <v>0</v>
          </cell>
          <cell r="C11">
            <v>0</v>
          </cell>
          <cell r="G11">
            <v>0</v>
          </cell>
          <cell r="H11">
            <v>0</v>
          </cell>
          <cell r="L11">
            <v>0</v>
          </cell>
          <cell r="M11">
            <v>0</v>
          </cell>
          <cell r="Q11">
            <v>0</v>
          </cell>
          <cell r="R11">
            <v>0</v>
          </cell>
        </row>
        <row r="12">
          <cell r="B12">
            <v>1502.3700000000001</v>
          </cell>
          <cell r="C12">
            <v>1050</v>
          </cell>
          <cell r="G12">
            <v>979.06000000000006</v>
          </cell>
          <cell r="H12">
            <v>1050</v>
          </cell>
          <cell r="L12">
            <v>968.82999999999993</v>
          </cell>
          <cell r="M12">
            <v>1050</v>
          </cell>
          <cell r="Q12">
            <v>6.8499999999999979</v>
          </cell>
          <cell r="R12">
            <v>1050</v>
          </cell>
        </row>
        <row r="15">
          <cell r="B15">
            <v>13218</v>
          </cell>
          <cell r="C15">
            <v>13218</v>
          </cell>
          <cell r="G15">
            <v>13218</v>
          </cell>
          <cell r="H15">
            <v>13218</v>
          </cell>
          <cell r="L15">
            <v>13218</v>
          </cell>
          <cell r="M15">
            <v>13218</v>
          </cell>
          <cell r="Q15">
            <v>13218</v>
          </cell>
          <cell r="R15">
            <v>13218</v>
          </cell>
        </row>
        <row r="17">
          <cell r="B17">
            <v>28270.32</v>
          </cell>
          <cell r="C17">
            <v>28028.088</v>
          </cell>
          <cell r="G17">
            <v>28270.32</v>
          </cell>
          <cell r="H17">
            <v>28028.088</v>
          </cell>
          <cell r="L17">
            <v>28270.32</v>
          </cell>
          <cell r="M17">
            <v>28028.088</v>
          </cell>
          <cell r="Q17">
            <v>28270.32</v>
          </cell>
          <cell r="R17">
            <v>28028.088</v>
          </cell>
        </row>
        <row r="18">
          <cell r="B18">
            <v>13451.93</v>
          </cell>
          <cell r="C18">
            <v>13160.880000000001</v>
          </cell>
          <cell r="G18">
            <v>12818.939999999999</v>
          </cell>
          <cell r="H18">
            <v>13160.880000000001</v>
          </cell>
          <cell r="L18">
            <v>12818.939999999999</v>
          </cell>
          <cell r="M18">
            <v>13160.880000000001</v>
          </cell>
          <cell r="Q18">
            <v>12818.939999999999</v>
          </cell>
          <cell r="R18">
            <v>13160.880000000001</v>
          </cell>
        </row>
        <row r="19">
          <cell r="B19">
            <v>133.53</v>
          </cell>
          <cell r="C19">
            <v>600</v>
          </cell>
          <cell r="G19">
            <v>27.25</v>
          </cell>
          <cell r="H19">
            <v>600</v>
          </cell>
          <cell r="L19">
            <v>2500</v>
          </cell>
          <cell r="M19">
            <v>600</v>
          </cell>
          <cell r="Q19">
            <v>572.13</v>
          </cell>
          <cell r="R19">
            <v>600</v>
          </cell>
        </row>
        <row r="20">
          <cell r="B20">
            <v>0</v>
          </cell>
          <cell r="C20">
            <v>300</v>
          </cell>
          <cell r="G20">
            <v>252</v>
          </cell>
          <cell r="H20">
            <v>300</v>
          </cell>
          <cell r="L20">
            <v>608</v>
          </cell>
          <cell r="M20">
            <v>300</v>
          </cell>
          <cell r="Q20">
            <v>0</v>
          </cell>
          <cell r="R20">
            <v>300</v>
          </cell>
        </row>
        <row r="21">
          <cell r="B21">
            <v>450</v>
          </cell>
          <cell r="C21">
            <v>450</v>
          </cell>
          <cell r="G21">
            <v>29.95</v>
          </cell>
          <cell r="H21">
            <v>450</v>
          </cell>
          <cell r="L21">
            <v>0</v>
          </cell>
          <cell r="M21">
            <v>450</v>
          </cell>
          <cell r="Q21">
            <v>0</v>
          </cell>
          <cell r="R21">
            <v>450</v>
          </cell>
        </row>
        <row r="22">
          <cell r="B22">
            <v>375</v>
          </cell>
          <cell r="C22">
            <v>375</v>
          </cell>
          <cell r="G22">
            <v>375</v>
          </cell>
          <cell r="H22">
            <v>375</v>
          </cell>
          <cell r="L22">
            <v>375</v>
          </cell>
          <cell r="M22">
            <v>375</v>
          </cell>
          <cell r="Q22">
            <v>375</v>
          </cell>
          <cell r="R22">
            <v>375</v>
          </cell>
        </row>
        <row r="25">
          <cell r="B25">
            <v>8670.7999999999993</v>
          </cell>
          <cell r="C25">
            <v>8668.7999999999993</v>
          </cell>
          <cell r="G25">
            <v>8670.9600000000009</v>
          </cell>
          <cell r="H25">
            <v>8668.7999999999993</v>
          </cell>
          <cell r="L25">
            <v>8670.91</v>
          </cell>
          <cell r="M25">
            <v>8668.7999999999993</v>
          </cell>
          <cell r="Q25">
            <v>8670.9599999999991</v>
          </cell>
          <cell r="R25">
            <v>8668.7999999999993</v>
          </cell>
        </row>
        <row r="26">
          <cell r="B26">
            <v>1020</v>
          </cell>
          <cell r="C26">
            <v>1500</v>
          </cell>
          <cell r="G26">
            <v>2664.9</v>
          </cell>
          <cell r="H26">
            <v>1500</v>
          </cell>
          <cell r="L26">
            <v>481</v>
          </cell>
          <cell r="M26">
            <v>1500</v>
          </cell>
          <cell r="Q26">
            <v>639.95000000000005</v>
          </cell>
          <cell r="R26">
            <v>3500</v>
          </cell>
        </row>
        <row r="27">
          <cell r="B27">
            <v>0</v>
          </cell>
          <cell r="C27">
            <v>0</v>
          </cell>
          <cell r="G27">
            <v>0</v>
          </cell>
          <cell r="H27">
            <v>0</v>
          </cell>
          <cell r="L27">
            <v>0</v>
          </cell>
          <cell r="M27">
            <v>0</v>
          </cell>
          <cell r="Q27">
            <v>0</v>
          </cell>
          <cell r="R27">
            <v>0</v>
          </cell>
        </row>
        <row r="28">
          <cell r="B28">
            <v>725.08</v>
          </cell>
          <cell r="C28">
            <v>750</v>
          </cell>
          <cell r="G28">
            <v>0</v>
          </cell>
          <cell r="H28">
            <v>750</v>
          </cell>
          <cell r="L28">
            <v>0</v>
          </cell>
          <cell r="M28">
            <v>750</v>
          </cell>
          <cell r="Q28">
            <v>0</v>
          </cell>
          <cell r="R28">
            <v>750</v>
          </cell>
        </row>
        <row r="29">
          <cell r="B29">
            <v>160</v>
          </cell>
          <cell r="C29">
            <v>750</v>
          </cell>
          <cell r="G29">
            <v>97.96</v>
          </cell>
          <cell r="H29">
            <v>750</v>
          </cell>
          <cell r="L29">
            <v>277.26</v>
          </cell>
          <cell r="M29">
            <v>750</v>
          </cell>
          <cell r="Q29">
            <v>96.2</v>
          </cell>
          <cell r="R29">
            <v>750</v>
          </cell>
        </row>
        <row r="30">
          <cell r="B30">
            <v>1773.41</v>
          </cell>
          <cell r="C30">
            <v>750</v>
          </cell>
          <cell r="G30">
            <v>804.39</v>
          </cell>
          <cell r="H30">
            <v>750</v>
          </cell>
          <cell r="L30">
            <v>2074.15</v>
          </cell>
          <cell r="M30">
            <v>750</v>
          </cell>
          <cell r="Q30">
            <v>789.41</v>
          </cell>
          <cell r="R30">
            <v>750</v>
          </cell>
        </row>
        <row r="33">
          <cell r="B33">
            <v>1614.78</v>
          </cell>
          <cell r="C33">
            <v>1650</v>
          </cell>
          <cell r="G33">
            <v>807.39</v>
          </cell>
          <cell r="H33">
            <v>1650</v>
          </cell>
          <cell r="L33">
            <v>538.25</v>
          </cell>
          <cell r="M33">
            <v>1650</v>
          </cell>
          <cell r="Q33">
            <v>1614.77</v>
          </cell>
          <cell r="R33">
            <v>1650</v>
          </cell>
        </row>
        <row r="34">
          <cell r="B34">
            <v>0</v>
          </cell>
          <cell r="C34">
            <v>60</v>
          </cell>
          <cell r="G34">
            <v>0</v>
          </cell>
          <cell r="H34">
            <v>60</v>
          </cell>
          <cell r="L34">
            <v>0</v>
          </cell>
          <cell r="M34">
            <v>60</v>
          </cell>
          <cell r="Q34">
            <v>437.86</v>
          </cell>
          <cell r="R34">
            <v>60</v>
          </cell>
        </row>
        <row r="35">
          <cell r="B35">
            <v>139.17000000000002</v>
          </cell>
          <cell r="C35">
            <v>150</v>
          </cell>
          <cell r="G35">
            <v>218.02</v>
          </cell>
          <cell r="H35">
            <v>150</v>
          </cell>
          <cell r="L35">
            <v>-2</v>
          </cell>
          <cell r="M35">
            <v>150</v>
          </cell>
          <cell r="Q35">
            <v>-2</v>
          </cell>
          <cell r="R35">
            <v>150</v>
          </cell>
        </row>
        <row r="36">
          <cell r="B36">
            <v>0</v>
          </cell>
          <cell r="C36">
            <v>0</v>
          </cell>
          <cell r="G36">
            <v>0</v>
          </cell>
          <cell r="H36">
            <v>100</v>
          </cell>
          <cell r="L36">
            <v>0</v>
          </cell>
          <cell r="M36">
            <v>0</v>
          </cell>
          <cell r="Q36">
            <v>0</v>
          </cell>
          <cell r="R36">
            <v>100</v>
          </cell>
        </row>
        <row r="37">
          <cell r="B37">
            <v>0</v>
          </cell>
          <cell r="C37">
            <v>0</v>
          </cell>
          <cell r="G37">
            <v>0</v>
          </cell>
          <cell r="H37">
            <v>0</v>
          </cell>
          <cell r="L37">
            <v>0</v>
          </cell>
          <cell r="M37">
            <v>0</v>
          </cell>
          <cell r="Q37">
            <v>0</v>
          </cell>
          <cell r="R37">
            <v>0</v>
          </cell>
        </row>
        <row r="38">
          <cell r="B38">
            <v>0</v>
          </cell>
          <cell r="C38">
            <v>50</v>
          </cell>
          <cell r="G38">
            <v>0</v>
          </cell>
          <cell r="H38">
            <v>0</v>
          </cell>
          <cell r="L38">
            <v>0</v>
          </cell>
          <cell r="M38">
            <v>0</v>
          </cell>
          <cell r="Q38">
            <v>0</v>
          </cell>
          <cell r="R38">
            <v>0</v>
          </cell>
        </row>
        <row r="41">
          <cell r="B41">
            <v>354.38</v>
          </cell>
          <cell r="C41">
            <v>0</v>
          </cell>
          <cell r="G41">
            <v>0</v>
          </cell>
          <cell r="H41">
            <v>300</v>
          </cell>
          <cell r="L41">
            <v>0</v>
          </cell>
          <cell r="M41">
            <v>300</v>
          </cell>
          <cell r="Q41">
            <v>0</v>
          </cell>
          <cell r="R41">
            <v>300</v>
          </cell>
        </row>
        <row r="42">
          <cell r="B42">
            <v>0</v>
          </cell>
          <cell r="C42">
            <v>0</v>
          </cell>
          <cell r="G42">
            <v>0</v>
          </cell>
          <cell r="H42">
            <v>0</v>
          </cell>
          <cell r="L42">
            <v>0</v>
          </cell>
          <cell r="M42">
            <v>0</v>
          </cell>
          <cell r="Q42">
            <v>0</v>
          </cell>
          <cell r="R42">
            <v>0</v>
          </cell>
        </row>
        <row r="45">
          <cell r="B45">
            <v>4637.1000000000004</v>
          </cell>
          <cell r="C45">
            <v>4591.7300000000005</v>
          </cell>
          <cell r="G45">
            <v>4637.1000000000004</v>
          </cell>
          <cell r="H45">
            <v>4591.7300000000005</v>
          </cell>
          <cell r="L45">
            <v>4637.1000000000004</v>
          </cell>
          <cell r="M45">
            <v>4591.7300000000005</v>
          </cell>
          <cell r="Q45">
            <v>4637.1000000000004</v>
          </cell>
          <cell r="R45">
            <v>4591.7300000000005</v>
          </cell>
        </row>
        <row r="46">
          <cell r="B46">
            <v>1311.9</v>
          </cell>
          <cell r="C46">
            <v>1350</v>
          </cell>
          <cell r="G46">
            <v>1330.3700000000001</v>
          </cell>
          <cell r="H46">
            <v>1350</v>
          </cell>
          <cell r="L46">
            <v>2867.17</v>
          </cell>
          <cell r="M46">
            <v>1350</v>
          </cell>
          <cell r="Q46">
            <v>487.62</v>
          </cell>
          <cell r="R46">
            <v>1350</v>
          </cell>
        </row>
        <row r="47">
          <cell r="B47">
            <v>2260.6799999999998</v>
          </cell>
          <cell r="C47">
            <v>2273.25</v>
          </cell>
          <cell r="G47">
            <v>2260.63</v>
          </cell>
          <cell r="H47">
            <v>2273.25</v>
          </cell>
          <cell r="L47">
            <v>2260.6799999999998</v>
          </cell>
          <cell r="M47">
            <v>2273.25</v>
          </cell>
          <cell r="Q47">
            <v>2260.63</v>
          </cell>
          <cell r="R47">
            <v>2273.25</v>
          </cell>
        </row>
        <row r="48">
          <cell r="B48">
            <v>704.34999999999991</v>
          </cell>
          <cell r="C48">
            <v>675</v>
          </cell>
          <cell r="G48">
            <v>566.12</v>
          </cell>
          <cell r="H48">
            <v>675</v>
          </cell>
          <cell r="L48">
            <v>1255.44</v>
          </cell>
          <cell r="M48">
            <v>675</v>
          </cell>
          <cell r="Q48">
            <v>895.48</v>
          </cell>
          <cell r="R48">
            <v>675</v>
          </cell>
        </row>
        <row r="49">
          <cell r="B49">
            <v>273</v>
          </cell>
          <cell r="C49">
            <v>300</v>
          </cell>
          <cell r="G49">
            <v>189</v>
          </cell>
          <cell r="H49">
            <v>300</v>
          </cell>
          <cell r="L49">
            <v>175</v>
          </cell>
          <cell r="M49">
            <v>300</v>
          </cell>
          <cell r="Q49">
            <v>203</v>
          </cell>
          <cell r="R49">
            <v>300</v>
          </cell>
        </row>
        <row r="50">
          <cell r="B50">
            <v>652.9</v>
          </cell>
          <cell r="C50">
            <v>100</v>
          </cell>
          <cell r="G50">
            <v>231.56</v>
          </cell>
          <cell r="H50">
            <v>100</v>
          </cell>
          <cell r="L50">
            <v>182.45000000000002</v>
          </cell>
          <cell r="M50">
            <v>500</v>
          </cell>
          <cell r="Q50">
            <v>2335.14</v>
          </cell>
          <cell r="R50">
            <v>1250</v>
          </cell>
        </row>
        <row r="53">
          <cell r="B53">
            <v>375.2600000000001</v>
          </cell>
          <cell r="C53">
            <v>-1125</v>
          </cell>
          <cell r="G53">
            <v>-21.740000000000009</v>
          </cell>
          <cell r="H53">
            <v>-1125</v>
          </cell>
          <cell r="L53">
            <v>-1854.76</v>
          </cell>
          <cell r="M53">
            <v>-1125</v>
          </cell>
          <cell r="Q53">
            <v>-18322.579999999998</v>
          </cell>
          <cell r="R53">
            <v>-1125</v>
          </cell>
        </row>
        <row r="54">
          <cell r="B54">
            <v>8344.64</v>
          </cell>
          <cell r="C54">
            <v>8000</v>
          </cell>
          <cell r="G54">
            <v>5689</v>
          </cell>
          <cell r="H54">
            <v>5500</v>
          </cell>
          <cell r="L54">
            <v>5736</v>
          </cell>
          <cell r="M54">
            <v>5600</v>
          </cell>
          <cell r="Q54">
            <v>8558.23</v>
          </cell>
          <cell r="R54">
            <v>7900</v>
          </cell>
        </row>
        <row r="55">
          <cell r="B55">
            <v>4745.01</v>
          </cell>
          <cell r="C55">
            <v>2100</v>
          </cell>
          <cell r="G55">
            <v>221.29</v>
          </cell>
          <cell r="H55">
            <v>2100</v>
          </cell>
          <cell r="L55">
            <v>152.17000000000002</v>
          </cell>
          <cell r="M55">
            <v>2100</v>
          </cell>
          <cell r="Q55">
            <v>1993.88</v>
          </cell>
          <cell r="R55">
            <v>2100</v>
          </cell>
        </row>
        <row r="56">
          <cell r="B56">
            <v>2976</v>
          </cell>
          <cell r="C56">
            <v>1800</v>
          </cell>
          <cell r="G56">
            <v>1415</v>
          </cell>
          <cell r="H56">
            <v>1800</v>
          </cell>
          <cell r="L56">
            <v>1835</v>
          </cell>
          <cell r="M56">
            <v>1800</v>
          </cell>
          <cell r="Q56">
            <v>1575</v>
          </cell>
          <cell r="R56">
            <v>1800</v>
          </cell>
        </row>
        <row r="57">
          <cell r="B57">
            <v>804.73</v>
          </cell>
          <cell r="C57">
            <v>600</v>
          </cell>
          <cell r="G57">
            <v>-1672.63</v>
          </cell>
          <cell r="H57">
            <v>600</v>
          </cell>
          <cell r="L57">
            <v>-2925.98</v>
          </cell>
          <cell r="M57">
            <v>600</v>
          </cell>
          <cell r="Q57">
            <v>-13995.59</v>
          </cell>
          <cell r="R57">
            <v>600</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21" workbookViewId="0">
      <selection activeCell="H57" sqref="H57"/>
    </sheetView>
  </sheetViews>
  <sheetFormatPr defaultRowHeight="12.75" x14ac:dyDescent="0.2"/>
  <sheetData/>
  <pageMargins left="0.7" right="0.7" top="0.75" bottom="0.5" header="0.3" footer="0.3"/>
  <pageSetup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topLeftCell="A4" workbookViewId="0">
      <selection sqref="A1:F60"/>
    </sheetView>
  </sheetViews>
  <sheetFormatPr defaultColWidth="8.7109375" defaultRowHeight="12.75" x14ac:dyDescent="0.2"/>
  <cols>
    <col min="1" max="1" width="28.5703125" style="25" bestFit="1" customWidth="1"/>
    <col min="2" max="2" width="11.140625" style="25" bestFit="1" customWidth="1"/>
    <col min="3" max="3" width="11.85546875" style="25" bestFit="1" customWidth="1"/>
    <col min="4" max="4" width="9.140625" style="25" bestFit="1" customWidth="1"/>
    <col min="5" max="5" width="9.85546875" style="25" bestFit="1" customWidth="1"/>
    <col min="6" max="6" width="2.140625" style="25" customWidth="1"/>
    <col min="7" max="16384" width="8.7109375" style="25"/>
  </cols>
  <sheetData>
    <row r="1" spans="1:6" ht="18" x14ac:dyDescent="0.25">
      <c r="A1" s="51" t="s">
        <v>3</v>
      </c>
      <c r="B1" s="51"/>
      <c r="C1" s="51"/>
      <c r="D1" s="51"/>
      <c r="E1" s="51"/>
      <c r="F1" s="51"/>
    </row>
    <row r="2" spans="1:6" ht="18" x14ac:dyDescent="0.25">
      <c r="A2" s="51" t="s">
        <v>100</v>
      </c>
      <c r="B2" s="51"/>
      <c r="C2" s="51"/>
      <c r="D2" s="51"/>
      <c r="E2" s="51"/>
      <c r="F2" s="51"/>
    </row>
    <row r="3" spans="1:6" x14ac:dyDescent="0.2">
      <c r="A3" s="52" t="s">
        <v>157</v>
      </c>
      <c r="B3" s="52"/>
      <c r="C3" s="52"/>
      <c r="D3" s="52"/>
      <c r="E3" s="52"/>
      <c r="F3" s="52"/>
    </row>
    <row r="5" spans="1:6" ht="12.75" customHeight="1" x14ac:dyDescent="0.2">
      <c r="A5" s="27"/>
      <c r="B5" s="28" t="s">
        <v>101</v>
      </c>
      <c r="C5" s="28" t="s">
        <v>102</v>
      </c>
      <c r="D5" s="28" t="s">
        <v>103</v>
      </c>
      <c r="E5" s="28" t="s">
        <v>104</v>
      </c>
      <c r="F5" s="28"/>
    </row>
    <row r="6" spans="1:6" ht="12.75" customHeight="1" x14ac:dyDescent="0.2">
      <c r="A6" s="29" t="s">
        <v>0</v>
      </c>
      <c r="B6" s="30"/>
      <c r="C6" s="30"/>
      <c r="D6" s="30"/>
      <c r="E6" s="30"/>
      <c r="F6" s="30"/>
    </row>
    <row r="7" spans="1:6" ht="12.75" customHeight="1" x14ac:dyDescent="0.2">
      <c r="A7" s="29" t="s">
        <v>105</v>
      </c>
      <c r="B7" s="43">
        <f>'[1]Profit &amp; Loss Quarterly BvA'!B7+'[1]Profit &amp; Loss Quarterly BvA'!G7+'[1]Profit &amp; Loss Quarterly BvA'!L7+'[1]Profit &amp; Loss Quarterly BvA'!Q7</f>
        <v>180997.82</v>
      </c>
      <c r="C7" s="43">
        <f>'[1]Profit &amp; Loss Quarterly BvA'!C7+'[1]Profit &amp; Loss Quarterly BvA'!H7+'[1]Profit &amp; Loss Quarterly BvA'!M7+'[1]Profit &amp; Loss Quarterly BvA'!R7</f>
        <v>201798.63</v>
      </c>
      <c r="D7" s="43">
        <f t="shared" ref="D7:D12" si="0">B7-C7</f>
        <v>-20800.809999999998</v>
      </c>
      <c r="E7" s="32">
        <f t="shared" ref="E7:E13" si="1">(B7/C7)-1</f>
        <v>-0.10307706251524107</v>
      </c>
      <c r="F7" s="32"/>
    </row>
    <row r="8" spans="1:6" ht="12.75" customHeight="1" x14ac:dyDescent="0.2">
      <c r="A8" s="29" t="s">
        <v>106</v>
      </c>
      <c r="B8" s="43">
        <f>'[1]Profit &amp; Loss Quarterly BvA'!B8+'[1]Profit &amp; Loss Quarterly BvA'!G8+'[1]Profit &amp; Loss Quarterly BvA'!L8+'[1]Profit &amp; Loss Quarterly BvA'!Q8</f>
        <v>22446.400000000001</v>
      </c>
      <c r="C8" s="43">
        <f>'[1]Profit &amp; Loss Quarterly BvA'!C8+'[1]Profit &amp; Loss Quarterly BvA'!H8+'[1]Profit &amp; Loss Quarterly BvA'!M8+'[1]Profit &amp; Loss Quarterly BvA'!R8</f>
        <v>20000</v>
      </c>
      <c r="D8" s="43">
        <f t="shared" si="0"/>
        <v>2446.4000000000015</v>
      </c>
      <c r="E8" s="32">
        <f t="shared" si="1"/>
        <v>0.12231999999999998</v>
      </c>
      <c r="F8" s="32"/>
    </row>
    <row r="9" spans="1:6" ht="12.75" customHeight="1" x14ac:dyDescent="0.2">
      <c r="A9" s="29" t="s">
        <v>107</v>
      </c>
      <c r="B9" s="43">
        <f>'[1]Profit &amp; Loss Quarterly BvA'!B9+'[1]Profit &amp; Loss Quarterly BvA'!G9+'[1]Profit &amp; Loss Quarterly BvA'!L9+'[1]Profit &amp; Loss Quarterly BvA'!Q9</f>
        <v>463.1</v>
      </c>
      <c r="C9" s="43">
        <f>'[1]Profit &amp; Loss Quarterly BvA'!C9+'[1]Profit &amp; Loss Quarterly BvA'!H9+'[1]Profit &amp; Loss Quarterly BvA'!M9+'[1]Profit &amp; Loss Quarterly BvA'!R9</f>
        <v>6000</v>
      </c>
      <c r="D9" s="43">
        <f t="shared" si="0"/>
        <v>-5536.9</v>
      </c>
      <c r="E9" s="32">
        <f t="shared" si="1"/>
        <v>-0.92281666666666662</v>
      </c>
      <c r="F9" s="32"/>
    </row>
    <row r="10" spans="1:6" ht="12.75" customHeight="1" x14ac:dyDescent="0.2">
      <c r="A10" s="29" t="s">
        <v>108</v>
      </c>
      <c r="B10" s="43">
        <f>'[1]Profit &amp; Loss Quarterly BvA'!B10+'[1]Profit &amp; Loss Quarterly BvA'!G10+'[1]Profit &amp; Loss Quarterly BvA'!L10+'[1]Profit &amp; Loss Quarterly BvA'!Q10</f>
        <v>231495.05</v>
      </c>
      <c r="C10" s="43">
        <f>'[1]Profit &amp; Loss Quarterly BvA'!C10+'[1]Profit &amp; Loss Quarterly BvA'!H10+'[1]Profit &amp; Loss Quarterly BvA'!M10+'[1]Profit &amp; Loss Quarterly BvA'!R10</f>
        <v>132277.68</v>
      </c>
      <c r="D10" s="43">
        <f t="shared" si="0"/>
        <v>99217.37</v>
      </c>
      <c r="E10" s="32">
        <f t="shared" si="1"/>
        <v>0.75006887027350344</v>
      </c>
      <c r="F10" s="32"/>
    </row>
    <row r="11" spans="1:6" ht="12.75" hidden="1" customHeight="1" x14ac:dyDescent="0.2">
      <c r="A11" s="29" t="s">
        <v>109</v>
      </c>
      <c r="B11" s="43">
        <f>'[1]Profit &amp; Loss Quarterly BvA'!B11+'[1]Profit &amp; Loss Quarterly BvA'!G11+'[1]Profit &amp; Loss Quarterly BvA'!L11+'[1]Profit &amp; Loss Quarterly BvA'!Q11</f>
        <v>0</v>
      </c>
      <c r="C11" s="43">
        <f>'[1]Profit &amp; Loss Quarterly BvA'!C11+'[1]Profit &amp; Loss Quarterly BvA'!H11+'[1]Profit &amp; Loss Quarterly BvA'!M11+'[1]Profit &amp; Loss Quarterly BvA'!R11</f>
        <v>0</v>
      </c>
      <c r="D11" s="43">
        <f t="shared" si="0"/>
        <v>0</v>
      </c>
      <c r="E11" s="32" t="e">
        <f t="shared" si="1"/>
        <v>#DIV/0!</v>
      </c>
      <c r="F11" s="32"/>
    </row>
    <row r="12" spans="1:6" ht="12.75" customHeight="1" x14ac:dyDescent="0.2">
      <c r="A12" s="29" t="s">
        <v>110</v>
      </c>
      <c r="B12" s="43">
        <f>'[1]Profit &amp; Loss Quarterly BvA'!B12+'[1]Profit &amp; Loss Quarterly BvA'!G12+'[1]Profit &amp; Loss Quarterly BvA'!L12+'[1]Profit &amp; Loss Quarterly BvA'!Q12</f>
        <v>3457.11</v>
      </c>
      <c r="C12" s="43">
        <f>'[1]Profit &amp; Loss Quarterly BvA'!C12+'[1]Profit &amp; Loss Quarterly BvA'!H12+'[1]Profit &amp; Loss Quarterly BvA'!M12+'[1]Profit &amp; Loss Quarterly BvA'!R12</f>
        <v>4200</v>
      </c>
      <c r="D12" s="43">
        <f t="shared" si="0"/>
        <v>-742.88999999999987</v>
      </c>
      <c r="E12" s="32">
        <f t="shared" si="1"/>
        <v>-0.17687857142857144</v>
      </c>
      <c r="F12" s="32"/>
    </row>
    <row r="13" spans="1:6" ht="25.5" customHeight="1" x14ac:dyDescent="0.2">
      <c r="A13" s="29" t="s">
        <v>1</v>
      </c>
      <c r="B13" s="44">
        <f>(((((B7)+(B8))+(B9))+(B10))+(B11))+(B12)</f>
        <v>438859.48</v>
      </c>
      <c r="C13" s="44">
        <f>(((((C7)+(C8))+(C9))+(C10))+(C11))+(C12)</f>
        <v>364276.31</v>
      </c>
      <c r="D13" s="44">
        <f>(((((D7)+(D8))+(D9))+(D10))+(D11))+(D12)</f>
        <v>74583.17</v>
      </c>
      <c r="E13" s="34">
        <f t="shared" si="1"/>
        <v>0.2047433993168537</v>
      </c>
      <c r="F13" s="33"/>
    </row>
    <row r="14" spans="1:6" ht="12.75" customHeight="1" x14ac:dyDescent="0.2">
      <c r="A14" s="29" t="s">
        <v>111</v>
      </c>
      <c r="B14" s="45"/>
      <c r="C14" s="45"/>
      <c r="D14" s="45"/>
      <c r="E14" s="35"/>
      <c r="F14" s="30"/>
    </row>
    <row r="15" spans="1:6" ht="12.75" customHeight="1" x14ac:dyDescent="0.2">
      <c r="A15" s="29" t="s">
        <v>112</v>
      </c>
      <c r="B15" s="43">
        <f>'[1]Profit &amp; Loss Quarterly BvA'!B15+'[1]Profit &amp; Loss Quarterly BvA'!G15+'[1]Profit &amp; Loss Quarterly BvA'!L15+'[1]Profit &amp; Loss Quarterly BvA'!Q15</f>
        <v>52872</v>
      </c>
      <c r="C15" s="43">
        <f>'[1]Profit &amp; Loss Quarterly BvA'!C15+'[1]Profit &amp; Loss Quarterly BvA'!H15+'[1]Profit &amp; Loss Quarterly BvA'!M15+'[1]Profit &amp; Loss Quarterly BvA'!R15</f>
        <v>52872</v>
      </c>
      <c r="D15" s="43">
        <f>B15-C15</f>
        <v>0</v>
      </c>
      <c r="E15" s="32">
        <f>(B15/C15)-1</f>
        <v>0</v>
      </c>
      <c r="F15" s="31"/>
    </row>
    <row r="16" spans="1:6" ht="12.75" customHeight="1" x14ac:dyDescent="0.2">
      <c r="A16" s="29" t="s">
        <v>113</v>
      </c>
      <c r="B16" s="43"/>
      <c r="C16" s="43"/>
      <c r="D16" s="43"/>
      <c r="E16" s="32"/>
      <c r="F16" s="31"/>
    </row>
    <row r="17" spans="1:6" ht="12.75" customHeight="1" x14ac:dyDescent="0.2">
      <c r="A17" s="29" t="s">
        <v>114</v>
      </c>
      <c r="B17" s="43">
        <f>'[1]Profit &amp; Loss Quarterly BvA'!B17+'[1]Profit &amp; Loss Quarterly BvA'!G17+'[1]Profit &amp; Loss Quarterly BvA'!L17+'[1]Profit &amp; Loss Quarterly BvA'!Q17</f>
        <v>113081.28</v>
      </c>
      <c r="C17" s="43">
        <f>'[1]Profit &amp; Loss Quarterly BvA'!C17+'[1]Profit &amp; Loss Quarterly BvA'!H17+'[1]Profit &amp; Loss Quarterly BvA'!M17+'[1]Profit &amp; Loss Quarterly BvA'!R17</f>
        <v>112112.352</v>
      </c>
      <c r="D17" s="43">
        <f t="shared" ref="D17:D22" si="2">B17-C17</f>
        <v>968.92799999999988</v>
      </c>
      <c r="E17" s="32">
        <f t="shared" ref="E17:E22" si="3">(B17/C17)-1</f>
        <v>8.6424732218624012E-3</v>
      </c>
      <c r="F17" s="31"/>
    </row>
    <row r="18" spans="1:6" ht="12.75" customHeight="1" x14ac:dyDescent="0.2">
      <c r="A18" s="29" t="s">
        <v>115</v>
      </c>
      <c r="B18" s="43">
        <f>'[1]Profit &amp; Loss Quarterly BvA'!B18+'[1]Profit &amp; Loss Quarterly BvA'!G18+'[1]Profit &amp; Loss Quarterly BvA'!L18+'[1]Profit &amp; Loss Quarterly BvA'!Q18</f>
        <v>51908.75</v>
      </c>
      <c r="C18" s="43">
        <f>'[1]Profit &amp; Loss Quarterly BvA'!C18+'[1]Profit &amp; Loss Quarterly BvA'!H18+'[1]Profit &amp; Loss Quarterly BvA'!M18+'[1]Profit &amp; Loss Quarterly BvA'!R18</f>
        <v>52643.520000000004</v>
      </c>
      <c r="D18" s="43">
        <f t="shared" si="2"/>
        <v>-734.77000000000407</v>
      </c>
      <c r="E18" s="32">
        <f t="shared" si="3"/>
        <v>-1.3957463330719566E-2</v>
      </c>
      <c r="F18" s="31"/>
    </row>
    <row r="19" spans="1:6" ht="12.75" customHeight="1" x14ac:dyDescent="0.2">
      <c r="A19" s="29" t="s">
        <v>116</v>
      </c>
      <c r="B19" s="43">
        <f>'[1]Profit &amp; Loss Quarterly BvA'!B19+'[1]Profit &amp; Loss Quarterly BvA'!G19+'[1]Profit &amp; Loss Quarterly BvA'!L19+'[1]Profit &amp; Loss Quarterly BvA'!Q19</f>
        <v>3232.9100000000003</v>
      </c>
      <c r="C19" s="43">
        <f>'[1]Profit &amp; Loss Quarterly BvA'!C19+'[1]Profit &amp; Loss Quarterly BvA'!H19+'[1]Profit &amp; Loss Quarterly BvA'!M19+'[1]Profit &amp; Loss Quarterly BvA'!R19</f>
        <v>2400</v>
      </c>
      <c r="D19" s="43">
        <f t="shared" si="2"/>
        <v>832.91000000000031</v>
      </c>
      <c r="E19" s="32">
        <f t="shared" si="3"/>
        <v>0.3470458333333335</v>
      </c>
      <c r="F19" s="31"/>
    </row>
    <row r="20" spans="1:6" ht="12.75" customHeight="1" x14ac:dyDescent="0.2">
      <c r="A20" s="29" t="s">
        <v>117</v>
      </c>
      <c r="B20" s="43">
        <f>'[1]Profit &amp; Loss Quarterly BvA'!B20+'[1]Profit &amp; Loss Quarterly BvA'!G20+'[1]Profit &amp; Loss Quarterly BvA'!L20+'[1]Profit &amp; Loss Quarterly BvA'!Q20</f>
        <v>860</v>
      </c>
      <c r="C20" s="43">
        <f>'[1]Profit &amp; Loss Quarterly BvA'!C20+'[1]Profit &amp; Loss Quarterly BvA'!H20+'[1]Profit &amp; Loss Quarterly BvA'!M20+'[1]Profit &amp; Loss Quarterly BvA'!R20</f>
        <v>1200</v>
      </c>
      <c r="D20" s="43">
        <f t="shared" si="2"/>
        <v>-340</v>
      </c>
      <c r="E20" s="32">
        <f t="shared" si="3"/>
        <v>-0.28333333333333333</v>
      </c>
      <c r="F20" s="31"/>
    </row>
    <row r="21" spans="1:6" ht="12.75" customHeight="1" x14ac:dyDescent="0.2">
      <c r="A21" s="29" t="s">
        <v>118</v>
      </c>
      <c r="B21" s="43">
        <f>'[1]Profit &amp; Loss Quarterly BvA'!B21+'[1]Profit &amp; Loss Quarterly BvA'!G21+'[1]Profit &amp; Loss Quarterly BvA'!L21+'[1]Profit &amp; Loss Quarterly BvA'!Q21</f>
        <v>479.95</v>
      </c>
      <c r="C21" s="43">
        <f>'[1]Profit &amp; Loss Quarterly BvA'!C21+'[1]Profit &amp; Loss Quarterly BvA'!H21+'[1]Profit &amp; Loss Quarterly BvA'!M21+'[1]Profit &amp; Loss Quarterly BvA'!R21</f>
        <v>1800</v>
      </c>
      <c r="D21" s="43">
        <f t="shared" si="2"/>
        <v>-1320.05</v>
      </c>
      <c r="E21" s="32">
        <f t="shared" si="3"/>
        <v>-0.73336111111111113</v>
      </c>
      <c r="F21" s="31"/>
    </row>
    <row r="22" spans="1:6" ht="12.75" customHeight="1" x14ac:dyDescent="0.2">
      <c r="A22" s="29" t="s">
        <v>119</v>
      </c>
      <c r="B22" s="43">
        <f>'[1]Profit &amp; Loss Quarterly BvA'!B22+'[1]Profit &amp; Loss Quarterly BvA'!G22+'[1]Profit &amp; Loss Quarterly BvA'!L22+'[1]Profit &amp; Loss Quarterly BvA'!Q22</f>
        <v>1500</v>
      </c>
      <c r="C22" s="43">
        <f>'[1]Profit &amp; Loss Quarterly BvA'!C22+'[1]Profit &amp; Loss Quarterly BvA'!H22+'[1]Profit &amp; Loss Quarterly BvA'!M22+'[1]Profit &amp; Loss Quarterly BvA'!R22</f>
        <v>1500</v>
      </c>
      <c r="D22" s="43">
        <f t="shared" si="2"/>
        <v>0</v>
      </c>
      <c r="E22" s="32">
        <f t="shared" si="3"/>
        <v>0</v>
      </c>
      <c r="F22" s="31"/>
    </row>
    <row r="23" spans="1:6" ht="12.75" customHeight="1" x14ac:dyDescent="0.2">
      <c r="A23" s="29" t="s">
        <v>120</v>
      </c>
      <c r="B23" s="44">
        <f>((((((B16)+(B17))+(B18))+(B19))+(B20))+(B21))+(B22)</f>
        <v>171062.89</v>
      </c>
      <c r="C23" s="44">
        <f>((((((C16)+(C17))+(C18))+(C19))+(C20))+(C21))+(C22)</f>
        <v>171655.872</v>
      </c>
      <c r="D23" s="44">
        <f>((((((D16)+(D17))+(D18))+(D19))+(D20))+(D21))+(D22)</f>
        <v>-592.98200000000384</v>
      </c>
      <c r="E23" s="34">
        <f>(B23/C23)-1</f>
        <v>-3.4544813008202668E-3</v>
      </c>
      <c r="F23" s="33"/>
    </row>
    <row r="24" spans="1:6" ht="12.75" customHeight="1" x14ac:dyDescent="0.2">
      <c r="A24" s="29" t="s">
        <v>121</v>
      </c>
      <c r="B24" s="45"/>
      <c r="C24" s="45"/>
      <c r="D24" s="45"/>
      <c r="E24" s="35"/>
      <c r="F24" s="30"/>
    </row>
    <row r="25" spans="1:6" ht="12.75" customHeight="1" x14ac:dyDescent="0.2">
      <c r="A25" s="29" t="s">
        <v>122</v>
      </c>
      <c r="B25" s="43">
        <f>'[1]Profit &amp; Loss Quarterly BvA'!B25+'[1]Profit &amp; Loss Quarterly BvA'!G25+'[1]Profit &amp; Loss Quarterly BvA'!L25+'[1]Profit &amp; Loss Quarterly BvA'!Q25</f>
        <v>34683.630000000005</v>
      </c>
      <c r="C25" s="43">
        <f>'[1]Profit &amp; Loss Quarterly BvA'!C25+'[1]Profit &amp; Loss Quarterly BvA'!H25+'[1]Profit &amp; Loss Quarterly BvA'!M25+'[1]Profit &amp; Loss Quarterly BvA'!R25</f>
        <v>34675.199999999997</v>
      </c>
      <c r="D25" s="43">
        <f t="shared" ref="D25:D30" si="4">B25-C25</f>
        <v>8.430000000007567</v>
      </c>
      <c r="E25" s="32">
        <f t="shared" ref="E25:E31" si="5">(B25/C25)-1</f>
        <v>2.4311323366577042E-4</v>
      </c>
      <c r="F25" s="31"/>
    </row>
    <row r="26" spans="1:6" ht="12.75" customHeight="1" x14ac:dyDescent="0.2">
      <c r="A26" s="29" t="s">
        <v>123</v>
      </c>
      <c r="B26" s="43">
        <f>'[1]Profit &amp; Loss Quarterly BvA'!B26+'[1]Profit &amp; Loss Quarterly BvA'!G26+'[1]Profit &amp; Loss Quarterly BvA'!L26+'[1]Profit &amp; Loss Quarterly BvA'!Q26</f>
        <v>4805.8499999999995</v>
      </c>
      <c r="C26" s="43">
        <f>'[1]Profit &amp; Loss Quarterly BvA'!C26+'[1]Profit &amp; Loss Quarterly BvA'!H26+'[1]Profit &amp; Loss Quarterly BvA'!M26+'[1]Profit &amp; Loss Quarterly BvA'!R26</f>
        <v>8000</v>
      </c>
      <c r="D26" s="43">
        <f t="shared" si="4"/>
        <v>-3194.1500000000005</v>
      </c>
      <c r="E26" s="32">
        <f t="shared" si="5"/>
        <v>-0.39926875000000006</v>
      </c>
      <c r="F26" s="31"/>
    </row>
    <row r="27" spans="1:6" ht="12.75" hidden="1" customHeight="1" x14ac:dyDescent="0.2">
      <c r="A27" s="29" t="s">
        <v>124</v>
      </c>
      <c r="B27" s="43">
        <f>'[1]Profit &amp; Loss Quarterly BvA'!B27+'[1]Profit &amp; Loss Quarterly BvA'!G27+'[1]Profit &amp; Loss Quarterly BvA'!L27+'[1]Profit &amp; Loss Quarterly BvA'!Q27</f>
        <v>0</v>
      </c>
      <c r="C27" s="43">
        <f>'[1]Profit &amp; Loss Quarterly BvA'!C27+'[1]Profit &amp; Loss Quarterly BvA'!H27+'[1]Profit &amp; Loss Quarterly BvA'!M27+'[1]Profit &amp; Loss Quarterly BvA'!R27</f>
        <v>0</v>
      </c>
      <c r="D27" s="43">
        <f t="shared" si="4"/>
        <v>0</v>
      </c>
      <c r="E27" s="32" t="e">
        <f t="shared" si="5"/>
        <v>#DIV/0!</v>
      </c>
      <c r="F27" s="31"/>
    </row>
    <row r="28" spans="1:6" ht="12.75" customHeight="1" x14ac:dyDescent="0.2">
      <c r="A28" s="29" t="s">
        <v>125</v>
      </c>
      <c r="B28" s="43">
        <f>'[1]Profit &amp; Loss Quarterly BvA'!B28+'[1]Profit &amp; Loss Quarterly BvA'!G28+'[1]Profit &amp; Loss Quarterly BvA'!L28+'[1]Profit &amp; Loss Quarterly BvA'!Q28</f>
        <v>725.08</v>
      </c>
      <c r="C28" s="43">
        <f>'[1]Profit &amp; Loss Quarterly BvA'!C28+'[1]Profit &amp; Loss Quarterly BvA'!H28+'[1]Profit &amp; Loss Quarterly BvA'!M28+'[1]Profit &amp; Loss Quarterly BvA'!R28</f>
        <v>3000</v>
      </c>
      <c r="D28" s="43">
        <f t="shared" si="4"/>
        <v>-2274.92</v>
      </c>
      <c r="E28" s="32">
        <f t="shared" si="5"/>
        <v>-0.75830666666666668</v>
      </c>
      <c r="F28" s="31"/>
    </row>
    <row r="29" spans="1:6" ht="12.75" customHeight="1" x14ac:dyDescent="0.2">
      <c r="A29" s="29" t="s">
        <v>126</v>
      </c>
      <c r="B29" s="43">
        <f>'[1]Profit &amp; Loss Quarterly BvA'!B29+'[1]Profit &amp; Loss Quarterly BvA'!G29+'[1]Profit &amp; Loss Quarterly BvA'!L29+'[1]Profit &amp; Loss Quarterly BvA'!Q29</f>
        <v>631.42000000000007</v>
      </c>
      <c r="C29" s="43">
        <f>'[1]Profit &amp; Loss Quarterly BvA'!C29+'[1]Profit &amp; Loss Quarterly BvA'!H29+'[1]Profit &amp; Loss Quarterly BvA'!M29+'[1]Profit &amp; Loss Quarterly BvA'!R29</f>
        <v>3000</v>
      </c>
      <c r="D29" s="43">
        <f t="shared" si="4"/>
        <v>-2368.58</v>
      </c>
      <c r="E29" s="32">
        <f t="shared" si="5"/>
        <v>-0.78952666666666671</v>
      </c>
      <c r="F29" s="31"/>
    </row>
    <row r="30" spans="1:6" ht="12.75" customHeight="1" x14ac:dyDescent="0.2">
      <c r="A30" s="29" t="s">
        <v>127</v>
      </c>
      <c r="B30" s="43">
        <f>'[1]Profit &amp; Loss Quarterly BvA'!B30+'[1]Profit &amp; Loss Quarterly BvA'!G30+'[1]Profit &amp; Loss Quarterly BvA'!L30+'[1]Profit &amp; Loss Quarterly BvA'!Q30</f>
        <v>5441.3600000000006</v>
      </c>
      <c r="C30" s="43">
        <f>'[1]Profit &amp; Loss Quarterly BvA'!C30+'[1]Profit &amp; Loss Quarterly BvA'!H30+'[1]Profit &amp; Loss Quarterly BvA'!M30+'[1]Profit &amp; Loss Quarterly BvA'!R30</f>
        <v>3000</v>
      </c>
      <c r="D30" s="43">
        <f t="shared" si="4"/>
        <v>2441.3600000000006</v>
      </c>
      <c r="E30" s="32">
        <f t="shared" si="5"/>
        <v>0.81378666666666688</v>
      </c>
      <c r="F30" s="31"/>
    </row>
    <row r="31" spans="1:6" ht="12.75" customHeight="1" x14ac:dyDescent="0.2">
      <c r="A31" s="29" t="s">
        <v>128</v>
      </c>
      <c r="B31" s="44">
        <f>(((((B24)+(B25))+(B26))+(B28))+(B29))+(B30)+B27</f>
        <v>46287.340000000004</v>
      </c>
      <c r="C31" s="44">
        <f>(((((C24)+(C25))+(C26))+(C28))+(C29))+(C30)+C27</f>
        <v>51675.199999999997</v>
      </c>
      <c r="D31" s="44">
        <f>(((((D24)+(D25))+(D26))+(D28))+(D29))+(D30)+D27</f>
        <v>-5387.8599999999924</v>
      </c>
      <c r="E31" s="34">
        <f t="shared" si="5"/>
        <v>-0.10426394092330549</v>
      </c>
      <c r="F31" s="33"/>
    </row>
    <row r="32" spans="1:6" ht="12.75" customHeight="1" x14ac:dyDescent="0.2">
      <c r="A32" s="29" t="s">
        <v>129</v>
      </c>
      <c r="B32" s="45"/>
      <c r="C32" s="45"/>
      <c r="D32" s="45"/>
      <c r="E32" s="35"/>
      <c r="F32" s="30"/>
    </row>
    <row r="33" spans="1:6" ht="12.75" customHeight="1" x14ac:dyDescent="0.2">
      <c r="A33" s="29" t="s">
        <v>130</v>
      </c>
      <c r="B33" s="46">
        <f>'[1]Profit &amp; Loss Quarterly BvA'!B33+'[1]Profit &amp; Loss Quarterly BvA'!G33+'[1]Profit &amp; Loss Quarterly BvA'!L33+'[1]Profit &amp; Loss Quarterly BvA'!Q33</f>
        <v>4575.1900000000005</v>
      </c>
      <c r="C33" s="46">
        <f>'[1]Profit &amp; Loss Quarterly BvA'!C33+'[1]Profit &amp; Loss Quarterly BvA'!H33+'[1]Profit &amp; Loss Quarterly BvA'!M33+'[1]Profit &amp; Loss Quarterly BvA'!R33</f>
        <v>6600</v>
      </c>
      <c r="D33" s="46">
        <f t="shared" ref="D33:D38" si="6">B33-C33</f>
        <v>-2024.8099999999995</v>
      </c>
      <c r="E33" s="35">
        <f t="shared" ref="E33:E39" si="7">(B33/C33)-1</f>
        <v>-0.30678939393939386</v>
      </c>
      <c r="F33" s="36"/>
    </row>
    <row r="34" spans="1:6" ht="12.75" customHeight="1" x14ac:dyDescent="0.2">
      <c r="A34" s="29" t="s">
        <v>131</v>
      </c>
      <c r="B34" s="46">
        <f>'[1]Profit &amp; Loss Quarterly BvA'!B34+'[1]Profit &amp; Loss Quarterly BvA'!G34+'[1]Profit &amp; Loss Quarterly BvA'!L34+'[1]Profit &amp; Loss Quarterly BvA'!Q34</f>
        <v>437.86</v>
      </c>
      <c r="C34" s="46">
        <f>'[1]Profit &amp; Loss Quarterly BvA'!C34+'[1]Profit &amp; Loss Quarterly BvA'!H34+'[1]Profit &amp; Loss Quarterly BvA'!M34+'[1]Profit &amp; Loss Quarterly BvA'!R34</f>
        <v>240</v>
      </c>
      <c r="D34" s="46">
        <f t="shared" si="6"/>
        <v>197.86</v>
      </c>
      <c r="E34" s="35">
        <f>(B34/C34)-1</f>
        <v>0.8244166666666668</v>
      </c>
      <c r="F34" s="36"/>
    </row>
    <row r="35" spans="1:6" ht="12.75" customHeight="1" x14ac:dyDescent="0.2">
      <c r="A35" s="29" t="s">
        <v>132</v>
      </c>
      <c r="B35" s="46">
        <f>'[1]Profit &amp; Loss Quarterly BvA'!B35+'[1]Profit &amp; Loss Quarterly BvA'!G35+'[1]Profit &amp; Loss Quarterly BvA'!L35+'[1]Profit &amp; Loss Quarterly BvA'!Q35</f>
        <v>353.19000000000005</v>
      </c>
      <c r="C35" s="46">
        <f>'[1]Profit &amp; Loss Quarterly BvA'!C35+'[1]Profit &amp; Loss Quarterly BvA'!H35+'[1]Profit &amp; Loss Quarterly BvA'!M35+'[1]Profit &amp; Loss Quarterly BvA'!R35</f>
        <v>600</v>
      </c>
      <c r="D35" s="46">
        <f t="shared" si="6"/>
        <v>-246.80999999999995</v>
      </c>
      <c r="E35" s="35">
        <f t="shared" si="7"/>
        <v>-0.41134999999999988</v>
      </c>
      <c r="F35" s="36"/>
    </row>
    <row r="36" spans="1:6" ht="12.75" customHeight="1" x14ac:dyDescent="0.2">
      <c r="A36" s="29" t="s">
        <v>133</v>
      </c>
      <c r="B36" s="46">
        <f>'[1]Profit &amp; Loss Quarterly BvA'!B36+'[1]Profit &amp; Loss Quarterly BvA'!G36+'[1]Profit &amp; Loss Quarterly BvA'!L36+'[1]Profit &amp; Loss Quarterly BvA'!Q36</f>
        <v>0</v>
      </c>
      <c r="C36" s="46">
        <f>'[1]Profit &amp; Loss Quarterly BvA'!C36+'[1]Profit &amp; Loss Quarterly BvA'!H36+'[1]Profit &amp; Loss Quarterly BvA'!M36+'[1]Profit &amp; Loss Quarterly BvA'!R36</f>
        <v>200</v>
      </c>
      <c r="D36" s="46">
        <f t="shared" si="6"/>
        <v>-200</v>
      </c>
      <c r="E36" s="35">
        <f t="shared" si="7"/>
        <v>-1</v>
      </c>
      <c r="F36" s="36"/>
    </row>
    <row r="37" spans="1:6" ht="12.75" hidden="1" customHeight="1" x14ac:dyDescent="0.2">
      <c r="A37" s="29" t="s">
        <v>134</v>
      </c>
      <c r="B37" s="46">
        <f>'[1]Profit &amp; Loss Quarterly BvA'!B37+'[1]Profit &amp; Loss Quarterly BvA'!G37+'[1]Profit &amp; Loss Quarterly BvA'!L37+'[1]Profit &amp; Loss Quarterly BvA'!Q37</f>
        <v>0</v>
      </c>
      <c r="C37" s="46">
        <f>'[1]Profit &amp; Loss Quarterly BvA'!C37+'[1]Profit &amp; Loss Quarterly BvA'!H37+'[1]Profit &amp; Loss Quarterly BvA'!M37+'[1]Profit &amp; Loss Quarterly BvA'!R37</f>
        <v>0</v>
      </c>
      <c r="D37" s="46">
        <f t="shared" si="6"/>
        <v>0</v>
      </c>
      <c r="E37" s="35" t="e">
        <f t="shared" si="7"/>
        <v>#DIV/0!</v>
      </c>
      <c r="F37" s="36"/>
    </row>
    <row r="38" spans="1:6" ht="12.75" customHeight="1" x14ac:dyDescent="0.2">
      <c r="A38" s="29" t="s">
        <v>135</v>
      </c>
      <c r="B38" s="46">
        <f>'[1]Profit &amp; Loss Quarterly BvA'!B38+'[1]Profit &amp; Loss Quarterly BvA'!G38+'[1]Profit &amp; Loss Quarterly BvA'!L38+'[1]Profit &amp; Loss Quarterly BvA'!Q38</f>
        <v>0</v>
      </c>
      <c r="C38" s="46">
        <f>'[1]Profit &amp; Loss Quarterly BvA'!C38+'[1]Profit &amp; Loss Quarterly BvA'!H38+'[1]Profit &amp; Loss Quarterly BvA'!M38+'[1]Profit &amp; Loss Quarterly BvA'!R38</f>
        <v>50</v>
      </c>
      <c r="D38" s="46">
        <f t="shared" si="6"/>
        <v>-50</v>
      </c>
      <c r="E38" s="35">
        <f t="shared" si="7"/>
        <v>-1</v>
      </c>
      <c r="F38" s="36"/>
    </row>
    <row r="39" spans="1:6" ht="12.75" customHeight="1" x14ac:dyDescent="0.2">
      <c r="A39" s="29" t="s">
        <v>136</v>
      </c>
      <c r="B39" s="44">
        <f>((((B32)+(B33))+(B36))+(B37))+(B38)+B35+B34</f>
        <v>5366.2400000000007</v>
      </c>
      <c r="C39" s="44">
        <f>((((C32)+(C33))+(C36))+(C37))+(C38)+C35+C34</f>
        <v>7690</v>
      </c>
      <c r="D39" s="44">
        <f>((((D32)+(D33))+(D36))+(D37))+(D38)+D35+D34</f>
        <v>-2323.7599999999993</v>
      </c>
      <c r="E39" s="34">
        <f t="shared" si="7"/>
        <v>-0.30217945383615075</v>
      </c>
      <c r="F39" s="33"/>
    </row>
    <row r="40" spans="1:6" ht="12.75" customHeight="1" x14ac:dyDescent="0.2">
      <c r="A40" s="29" t="s">
        <v>137</v>
      </c>
      <c r="B40" s="45"/>
      <c r="C40" s="45"/>
      <c r="D40" s="45"/>
      <c r="E40" s="35"/>
      <c r="F40" s="30"/>
    </row>
    <row r="41" spans="1:6" ht="12.75" customHeight="1" x14ac:dyDescent="0.2">
      <c r="A41" s="29" t="s">
        <v>138</v>
      </c>
      <c r="B41" s="43">
        <f>'[1]Profit &amp; Loss Quarterly BvA'!B41+'[1]Profit &amp; Loss Quarterly BvA'!G41+'[1]Profit &amp; Loss Quarterly BvA'!L41+'[1]Profit &amp; Loss Quarterly BvA'!Q41</f>
        <v>354.38</v>
      </c>
      <c r="C41" s="43">
        <f>'[1]Profit &amp; Loss Quarterly BvA'!C41+'[1]Profit &amp; Loss Quarterly BvA'!H41+'[1]Profit &amp; Loss Quarterly BvA'!M41+'[1]Profit &amp; Loss Quarterly BvA'!R41</f>
        <v>900</v>
      </c>
      <c r="D41" s="43">
        <f>B41-C41</f>
        <v>-545.62</v>
      </c>
      <c r="E41" s="32">
        <f>(B41/C41)-1</f>
        <v>-0.60624444444444447</v>
      </c>
      <c r="F41" s="31"/>
    </row>
    <row r="42" spans="1:6" ht="12.75" hidden="1" customHeight="1" x14ac:dyDescent="0.2">
      <c r="A42" s="29" t="s">
        <v>139</v>
      </c>
      <c r="B42" s="43">
        <f>'[1]Profit &amp; Loss Quarterly BvA'!B42+'[1]Profit &amp; Loss Quarterly BvA'!G42+'[1]Profit &amp; Loss Quarterly BvA'!L42+'[1]Profit &amp; Loss Quarterly BvA'!Q42</f>
        <v>0</v>
      </c>
      <c r="C42" s="43">
        <f>'[1]Profit &amp; Loss Quarterly BvA'!C42+'[1]Profit &amp; Loss Quarterly BvA'!H42+'[1]Profit &amp; Loss Quarterly BvA'!M42+'[1]Profit &amp; Loss Quarterly BvA'!R42</f>
        <v>0</v>
      </c>
      <c r="D42" s="43">
        <f>B42-C42</f>
        <v>0</v>
      </c>
      <c r="E42" s="32" t="e">
        <f>(B42/C42)-1</f>
        <v>#DIV/0!</v>
      </c>
      <c r="F42" s="31"/>
    </row>
    <row r="43" spans="1:6" ht="12.75" customHeight="1" x14ac:dyDescent="0.2">
      <c r="A43" s="29" t="s">
        <v>140</v>
      </c>
      <c r="B43" s="44">
        <f>(B40)+(B41)+B42</f>
        <v>354.38</v>
      </c>
      <c r="C43" s="44">
        <f>(C40)+(C41)+C42</f>
        <v>900</v>
      </c>
      <c r="D43" s="44">
        <f>(D40)+(D41)+D42</f>
        <v>-545.62</v>
      </c>
      <c r="E43" s="34">
        <f>(B43/C43)-1</f>
        <v>-0.60624444444444447</v>
      </c>
      <c r="F43" s="33"/>
    </row>
    <row r="44" spans="1:6" ht="12.75" customHeight="1" x14ac:dyDescent="0.2">
      <c r="A44" s="29" t="s">
        <v>141</v>
      </c>
      <c r="B44" s="45"/>
      <c r="C44" s="45"/>
      <c r="D44" s="45"/>
      <c r="E44" s="35"/>
      <c r="F44" s="30"/>
    </row>
    <row r="45" spans="1:6" ht="12.75" customHeight="1" x14ac:dyDescent="0.2">
      <c r="A45" s="29" t="s">
        <v>142</v>
      </c>
      <c r="B45" s="43">
        <f>'[1]Profit &amp; Loss Quarterly BvA'!B45+'[1]Profit &amp; Loss Quarterly BvA'!G45+'[1]Profit &amp; Loss Quarterly BvA'!L45+'[1]Profit &amp; Loss Quarterly BvA'!Q45</f>
        <v>18548.400000000001</v>
      </c>
      <c r="C45" s="43">
        <f>'[1]Profit &amp; Loss Quarterly BvA'!C45+'[1]Profit &amp; Loss Quarterly BvA'!H45+'[1]Profit &amp; Loss Quarterly BvA'!M45+'[1]Profit &amp; Loss Quarterly BvA'!R45</f>
        <v>18366.920000000002</v>
      </c>
      <c r="D45" s="43">
        <f t="shared" ref="D45:D50" si="8">B45-C45</f>
        <v>181.47999999999956</v>
      </c>
      <c r="E45" s="32">
        <f t="shared" ref="E45:E51" si="9">(B45/C45)-1</f>
        <v>9.8808074516576472E-3</v>
      </c>
      <c r="F45" s="31"/>
    </row>
    <row r="46" spans="1:6" ht="12.75" customHeight="1" x14ac:dyDescent="0.2">
      <c r="A46" s="29" t="s">
        <v>143</v>
      </c>
      <c r="B46" s="43">
        <f>'[1]Profit &amp; Loss Quarterly BvA'!B46+'[1]Profit &amp; Loss Quarterly BvA'!G46+'[1]Profit &amp; Loss Quarterly BvA'!L46+'[1]Profit &amp; Loss Quarterly BvA'!Q46</f>
        <v>5997.06</v>
      </c>
      <c r="C46" s="43">
        <f>'[1]Profit &amp; Loss Quarterly BvA'!C46+'[1]Profit &amp; Loss Quarterly BvA'!H46+'[1]Profit &amp; Loss Quarterly BvA'!M46+'[1]Profit &amp; Loss Quarterly BvA'!R46</f>
        <v>5400</v>
      </c>
      <c r="D46" s="43">
        <f t="shared" si="8"/>
        <v>597.0600000000004</v>
      </c>
      <c r="E46" s="32">
        <f t="shared" si="9"/>
        <v>0.1105666666666667</v>
      </c>
      <c r="F46" s="31"/>
    </row>
    <row r="47" spans="1:6" ht="12.75" customHeight="1" x14ac:dyDescent="0.2">
      <c r="A47" s="29" t="s">
        <v>144</v>
      </c>
      <c r="B47" s="43">
        <f>'[1]Profit &amp; Loss Quarterly BvA'!B47+'[1]Profit &amp; Loss Quarterly BvA'!G47+'[1]Profit &amp; Loss Quarterly BvA'!L47+'[1]Profit &amp; Loss Quarterly BvA'!Q47</f>
        <v>9042.619999999999</v>
      </c>
      <c r="C47" s="43">
        <f>'[1]Profit &amp; Loss Quarterly BvA'!C47+'[1]Profit &amp; Loss Quarterly BvA'!H47+'[1]Profit &amp; Loss Quarterly BvA'!M47+'[1]Profit &amp; Loss Quarterly BvA'!R47</f>
        <v>9093</v>
      </c>
      <c r="D47" s="43">
        <f t="shared" si="8"/>
        <v>-50.380000000001019</v>
      </c>
      <c r="E47" s="32">
        <f t="shared" si="9"/>
        <v>-5.5405256790939106E-3</v>
      </c>
      <c r="F47" s="31"/>
    </row>
    <row r="48" spans="1:6" ht="12.75" customHeight="1" x14ac:dyDescent="0.2">
      <c r="A48" s="29" t="s">
        <v>145</v>
      </c>
      <c r="B48" s="43">
        <f>'[1]Profit &amp; Loss Quarterly BvA'!B48+'[1]Profit &amp; Loss Quarterly BvA'!G48+'[1]Profit &amp; Loss Quarterly BvA'!L48+'[1]Profit &amp; Loss Quarterly BvA'!Q48</f>
        <v>3421.39</v>
      </c>
      <c r="C48" s="43">
        <f>'[1]Profit &amp; Loss Quarterly BvA'!C48+'[1]Profit &amp; Loss Quarterly BvA'!H48+'[1]Profit &amp; Loss Quarterly BvA'!M48+'[1]Profit &amp; Loss Quarterly BvA'!R48</f>
        <v>2700</v>
      </c>
      <c r="D48" s="43">
        <f t="shared" si="8"/>
        <v>721.38999999999987</v>
      </c>
      <c r="E48" s="32">
        <f t="shared" si="9"/>
        <v>0.26718148148148146</v>
      </c>
      <c r="F48" s="31"/>
    </row>
    <row r="49" spans="1:6" ht="12.75" customHeight="1" x14ac:dyDescent="0.2">
      <c r="A49" s="29" t="s">
        <v>146</v>
      </c>
      <c r="B49" s="43">
        <f>'[1]Profit &amp; Loss Quarterly BvA'!B49+'[1]Profit &amp; Loss Quarterly BvA'!G49+'[1]Profit &amp; Loss Quarterly BvA'!L49+'[1]Profit &amp; Loss Quarterly BvA'!Q49</f>
        <v>840</v>
      </c>
      <c r="C49" s="43">
        <f>'[1]Profit &amp; Loss Quarterly BvA'!C49+'[1]Profit &amp; Loss Quarterly BvA'!H49+'[1]Profit &amp; Loss Quarterly BvA'!M49+'[1]Profit &amp; Loss Quarterly BvA'!R49</f>
        <v>1200</v>
      </c>
      <c r="D49" s="43">
        <f t="shared" si="8"/>
        <v>-360</v>
      </c>
      <c r="E49" s="32">
        <f t="shared" si="9"/>
        <v>-0.30000000000000004</v>
      </c>
      <c r="F49" s="31"/>
    </row>
    <row r="50" spans="1:6" ht="12.75" customHeight="1" x14ac:dyDescent="0.2">
      <c r="A50" s="29" t="s">
        <v>147</v>
      </c>
      <c r="B50" s="43">
        <f>'[1]Profit &amp; Loss Quarterly BvA'!B50+'[1]Profit &amp; Loss Quarterly BvA'!G50+'[1]Profit &amp; Loss Quarterly BvA'!L50+'[1]Profit &amp; Loss Quarterly BvA'!Q50</f>
        <v>3402.05</v>
      </c>
      <c r="C50" s="43">
        <f>'[1]Profit &amp; Loss Quarterly BvA'!C50+'[1]Profit &amp; Loss Quarterly BvA'!H50+'[1]Profit &amp; Loss Quarterly BvA'!M50+'[1]Profit &amp; Loss Quarterly BvA'!R50</f>
        <v>1950</v>
      </c>
      <c r="D50" s="43">
        <f t="shared" si="8"/>
        <v>1452.0500000000002</v>
      </c>
      <c r="E50" s="32">
        <f t="shared" si="9"/>
        <v>0.74464102564102563</v>
      </c>
      <c r="F50" s="31"/>
    </row>
    <row r="51" spans="1:6" ht="12.75" customHeight="1" x14ac:dyDescent="0.2">
      <c r="A51" s="29" t="s">
        <v>148</v>
      </c>
      <c r="B51" s="44">
        <f>((((((B44)+(B45))+(B46))+(B47))+(B48))+(B49))+(B50)</f>
        <v>41251.520000000004</v>
      </c>
      <c r="C51" s="44">
        <f>((((((C44)+(C45))+(C46))+(C47))+(C48))+(C49))+(C50)</f>
        <v>38709.919999999998</v>
      </c>
      <c r="D51" s="44">
        <f>((((((D44)+(D45))+(D46))+(D47))+(D48))+(D49))+(D50)</f>
        <v>2541.599999999999</v>
      </c>
      <c r="E51" s="34">
        <f t="shared" si="9"/>
        <v>6.5657588545778633E-2</v>
      </c>
      <c r="F51" s="33"/>
    </row>
    <row r="52" spans="1:6" ht="12.75" customHeight="1" x14ac:dyDescent="0.2">
      <c r="A52" s="29" t="s">
        <v>149</v>
      </c>
      <c r="B52" s="45"/>
      <c r="C52" s="45"/>
      <c r="D52" s="45"/>
      <c r="E52" s="35"/>
      <c r="F52" s="30"/>
    </row>
    <row r="53" spans="1:6" ht="12.75" customHeight="1" x14ac:dyDescent="0.2">
      <c r="A53" s="29" t="s">
        <v>150</v>
      </c>
      <c r="B53" s="43">
        <f>'[1]Profit &amp; Loss Quarterly BvA'!B53+'[1]Profit &amp; Loss Quarterly BvA'!G53+'[1]Profit &amp; Loss Quarterly BvA'!L53+'[1]Profit &amp; Loss Quarterly BvA'!Q53</f>
        <v>-19823.82</v>
      </c>
      <c r="C53" s="43">
        <f>'[1]Profit &amp; Loss Quarterly BvA'!C53+'[1]Profit &amp; Loss Quarterly BvA'!H53+'[1]Profit &amp; Loss Quarterly BvA'!M53+'[1]Profit &amp; Loss Quarterly BvA'!R53</f>
        <v>-4500</v>
      </c>
      <c r="D53" s="43">
        <f>B53-C53</f>
        <v>-15323.82</v>
      </c>
      <c r="E53" s="32">
        <f t="shared" ref="E53:E60" si="10">(B53/C53)-1</f>
        <v>3.4052933333333328</v>
      </c>
      <c r="F53" s="31"/>
    </row>
    <row r="54" spans="1:6" ht="12.75" customHeight="1" x14ac:dyDescent="0.2">
      <c r="A54" s="29" t="s">
        <v>151</v>
      </c>
      <c r="B54" s="43">
        <f>'[1]Profit &amp; Loss Quarterly BvA'!B54+'[1]Profit &amp; Loss Quarterly BvA'!G54+'[1]Profit &amp; Loss Quarterly BvA'!L54+'[1]Profit &amp; Loss Quarterly BvA'!Q54</f>
        <v>28327.87</v>
      </c>
      <c r="C54" s="43">
        <f>'[1]Profit &amp; Loss Quarterly BvA'!C54+'[1]Profit &amp; Loss Quarterly BvA'!H54+'[1]Profit &amp; Loss Quarterly BvA'!M54+'[1]Profit &amp; Loss Quarterly BvA'!R54</f>
        <v>27000</v>
      </c>
      <c r="D54" s="43">
        <f>B54-C54</f>
        <v>1327.869999999999</v>
      </c>
      <c r="E54" s="32">
        <f t="shared" si="10"/>
        <v>4.9180370370370374E-2</v>
      </c>
      <c r="F54" s="31"/>
    </row>
    <row r="55" spans="1:6" ht="12.75" customHeight="1" x14ac:dyDescent="0.2">
      <c r="A55" s="29" t="s">
        <v>152</v>
      </c>
      <c r="B55" s="43">
        <f>'[1]Profit &amp; Loss Quarterly BvA'!B55+'[1]Profit &amp; Loss Quarterly BvA'!G55+'[1]Profit &amp; Loss Quarterly BvA'!L55+'[1]Profit &amp; Loss Quarterly BvA'!Q55</f>
        <v>7112.35</v>
      </c>
      <c r="C55" s="43">
        <f>'[1]Profit &amp; Loss Quarterly BvA'!C55+'[1]Profit &amp; Loss Quarterly BvA'!H55+'[1]Profit &amp; Loss Quarterly BvA'!M55+'[1]Profit &amp; Loss Quarterly BvA'!R55</f>
        <v>8400</v>
      </c>
      <c r="D55" s="43">
        <f>B55-C55</f>
        <v>-1287.6499999999996</v>
      </c>
      <c r="E55" s="32">
        <f>(B55/C55)-1</f>
        <v>-0.1532916666666666</v>
      </c>
      <c r="F55" s="31"/>
    </row>
    <row r="56" spans="1:6" ht="12.75" customHeight="1" x14ac:dyDescent="0.2">
      <c r="A56" s="29" t="s">
        <v>153</v>
      </c>
      <c r="B56" s="43">
        <f>'[1]Profit &amp; Loss Quarterly BvA'!B56+'[1]Profit &amp; Loss Quarterly BvA'!G56+'[1]Profit &amp; Loss Quarterly BvA'!L56+'[1]Profit &amp; Loss Quarterly BvA'!Q56</f>
        <v>7801</v>
      </c>
      <c r="C56" s="43">
        <f>'[1]Profit &amp; Loss Quarterly BvA'!C56+'[1]Profit &amp; Loss Quarterly BvA'!H56+'[1]Profit &amp; Loss Quarterly BvA'!M56+'[1]Profit &amp; Loss Quarterly BvA'!R56</f>
        <v>7200</v>
      </c>
      <c r="D56" s="43">
        <f>B56-C56</f>
        <v>601</v>
      </c>
      <c r="E56" s="32">
        <f t="shared" si="10"/>
        <v>8.347222222222217E-2</v>
      </c>
      <c r="F56" s="31"/>
    </row>
    <row r="57" spans="1:6" ht="12.75" customHeight="1" x14ac:dyDescent="0.2">
      <c r="A57" s="29" t="s">
        <v>154</v>
      </c>
      <c r="B57" s="43">
        <f>'[1]Profit &amp; Loss Quarterly BvA'!B57+'[1]Profit &amp; Loss Quarterly BvA'!G57+'[1]Profit &amp; Loss Quarterly BvA'!L57+'[1]Profit &amp; Loss Quarterly BvA'!Q57</f>
        <v>-17789.47</v>
      </c>
      <c r="C57" s="43">
        <f>'[1]Profit &amp; Loss Quarterly BvA'!C57+'[1]Profit &amp; Loss Quarterly BvA'!H57+'[1]Profit &amp; Loss Quarterly BvA'!M57+'[1]Profit &amp; Loss Quarterly BvA'!R57</f>
        <v>2400</v>
      </c>
      <c r="D57" s="43">
        <f>B57-C57</f>
        <v>-20189.47</v>
      </c>
      <c r="E57" s="32">
        <f t="shared" si="10"/>
        <v>-8.4122791666666679</v>
      </c>
      <c r="F57" s="31"/>
    </row>
    <row r="58" spans="1:6" x14ac:dyDescent="0.2">
      <c r="A58" s="29" t="s">
        <v>155</v>
      </c>
      <c r="B58" s="44">
        <f>(((((B52)+(B53))+(B54))+(B55))+(B56))+(B57)</f>
        <v>5627.93</v>
      </c>
      <c r="C58" s="44">
        <f>(((((C52)+(C53))+(C54))+(C55))+(C56))+(C57)</f>
        <v>40500</v>
      </c>
      <c r="D58" s="44">
        <f>(((((D52)+(D53))+(D54))+(D55))+(D56))+(D57)</f>
        <v>-34872.07</v>
      </c>
      <c r="E58" s="34">
        <f t="shared" si="10"/>
        <v>-0.86103876543209878</v>
      </c>
      <c r="F58" s="33"/>
    </row>
    <row r="59" spans="1:6" x14ac:dyDescent="0.2">
      <c r="A59" s="29" t="s">
        <v>156</v>
      </c>
      <c r="B59" s="44">
        <f>((((((B15)+(B23))+(B31))+(B39))+(B43))+(B51))+(B58)</f>
        <v>322822.30000000005</v>
      </c>
      <c r="C59" s="44">
        <f>((((((C15)+(C23))+(C31))+(C39))+(C43))+(C51))+(C58)</f>
        <v>364002.99199999997</v>
      </c>
      <c r="D59" s="44">
        <f>((((((D15)+(D23))+(D31))+(D39))+(D43))+(D51))+(D58)</f>
        <v>-41180.691999999995</v>
      </c>
      <c r="E59" s="34">
        <f t="shared" si="10"/>
        <v>-0.11313283930369433</v>
      </c>
      <c r="F59" s="33"/>
    </row>
    <row r="60" spans="1:6" ht="12.75" customHeight="1" x14ac:dyDescent="0.2">
      <c r="A60" s="29" t="s">
        <v>2</v>
      </c>
      <c r="B60" s="44">
        <f>(B13)-(B59)</f>
        <v>116037.17999999993</v>
      </c>
      <c r="C60" s="44">
        <f>(C13)-(C59)</f>
        <v>273.31800000002841</v>
      </c>
      <c r="D60" s="44">
        <f>(D13)-(D59)</f>
        <v>115763.86199999999</v>
      </c>
      <c r="E60" s="34">
        <f t="shared" si="10"/>
        <v>423.55008451689196</v>
      </c>
      <c r="F60" s="33"/>
    </row>
    <row r="61" spans="1:6" x14ac:dyDescent="0.2">
      <c r="A61" s="29"/>
      <c r="B61" s="30"/>
      <c r="C61" s="30"/>
      <c r="D61" s="30"/>
      <c r="E61" s="30"/>
      <c r="F61" s="30"/>
    </row>
    <row r="64" spans="1:6" x14ac:dyDescent="0.2">
      <c r="A64" s="50"/>
      <c r="B64" s="50"/>
      <c r="C64" s="50"/>
      <c r="D64" s="50"/>
      <c r="E64" s="50"/>
      <c r="F64" s="50"/>
    </row>
  </sheetData>
  <mergeCells count="4">
    <mergeCell ref="A64:F64"/>
    <mergeCell ref="A1:F1"/>
    <mergeCell ref="A2:F2"/>
    <mergeCell ref="A3:F3"/>
  </mergeCells>
  <printOptions horizontalCentered="1"/>
  <pageMargins left="0.25" right="0.25" top="0.5" bottom="0.25" header="0.3" footer="0.3"/>
  <pageSetup scale="96"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topLeftCell="A4" workbookViewId="0">
      <selection activeCell="I21" sqref="I21"/>
    </sheetView>
  </sheetViews>
  <sheetFormatPr defaultColWidth="8.7109375" defaultRowHeight="12.75" x14ac:dyDescent="0.2"/>
  <cols>
    <col min="1" max="1" width="34" style="25" bestFit="1" customWidth="1"/>
    <col min="2" max="3" width="11.140625" style="25" bestFit="1" customWidth="1"/>
    <col min="4" max="4" width="8" style="25" customWidth="1"/>
    <col min="5" max="5" width="8.85546875" style="25" bestFit="1" customWidth="1"/>
    <col min="6" max="16384" width="8.7109375" style="25"/>
  </cols>
  <sheetData>
    <row r="1" spans="1:5" ht="18" x14ac:dyDescent="0.25">
      <c r="A1" s="55" t="s">
        <v>158</v>
      </c>
      <c r="B1" s="54"/>
      <c r="C1" s="54"/>
      <c r="D1" s="54"/>
      <c r="E1" s="54"/>
    </row>
    <row r="2" spans="1:5" ht="18" x14ac:dyDescent="0.25">
      <c r="A2" s="55" t="s">
        <v>159</v>
      </c>
      <c r="B2" s="54"/>
      <c r="C2" s="54"/>
      <c r="D2" s="54"/>
      <c r="E2" s="54"/>
    </row>
    <row r="3" spans="1:5" x14ac:dyDescent="0.2">
      <c r="A3" s="56" t="s">
        <v>187</v>
      </c>
      <c r="B3" s="54"/>
      <c r="C3" s="54"/>
      <c r="D3" s="54"/>
      <c r="E3" s="54"/>
    </row>
    <row r="5" spans="1:5" ht="36" x14ac:dyDescent="0.2">
      <c r="A5" s="27"/>
      <c r="B5" s="37" t="s">
        <v>160</v>
      </c>
      <c r="C5" s="37" t="s">
        <v>161</v>
      </c>
      <c r="D5" s="37" t="s">
        <v>162</v>
      </c>
      <c r="E5" s="37" t="s">
        <v>90</v>
      </c>
    </row>
    <row r="6" spans="1:5" x14ac:dyDescent="0.2">
      <c r="A6" s="38" t="s">
        <v>4</v>
      </c>
      <c r="B6" s="39"/>
      <c r="C6" s="39"/>
      <c r="D6" s="39"/>
      <c r="E6" s="39"/>
    </row>
    <row r="7" spans="1:5" x14ac:dyDescent="0.2">
      <c r="A7" s="38" t="s">
        <v>5</v>
      </c>
      <c r="B7" s="39"/>
      <c r="C7" s="39"/>
      <c r="D7" s="39"/>
      <c r="E7" s="39"/>
    </row>
    <row r="8" spans="1:5" x14ac:dyDescent="0.2">
      <c r="A8" s="38" t="s">
        <v>6</v>
      </c>
      <c r="B8" s="39"/>
      <c r="C8" s="39"/>
      <c r="D8" s="39"/>
      <c r="E8" s="39"/>
    </row>
    <row r="9" spans="1:5" x14ac:dyDescent="0.2">
      <c r="A9" s="38" t="s">
        <v>163</v>
      </c>
      <c r="B9" s="47">
        <f>41460.31</f>
        <v>41460.31</v>
      </c>
      <c r="C9" s="47">
        <f>63016.22</f>
        <v>63016.22</v>
      </c>
      <c r="D9" s="47">
        <f>(B9)-(C9)</f>
        <v>-21555.910000000003</v>
      </c>
      <c r="E9" s="40">
        <f>IF(ABS((C9))=0,"",((B9)-(C9))/(ABS((C9))))</f>
        <v>-0.34206923233415149</v>
      </c>
    </row>
    <row r="10" spans="1:5" x14ac:dyDescent="0.2">
      <c r="A10" s="38" t="s">
        <v>164</v>
      </c>
      <c r="B10" s="47">
        <f>7891.01</f>
        <v>7891.01</v>
      </c>
      <c r="C10" s="47">
        <f>2008.01</f>
        <v>2008.01</v>
      </c>
      <c r="D10" s="47">
        <f>(B10)-(C10)</f>
        <v>5883</v>
      </c>
      <c r="E10" s="40">
        <f>IF(ABS((C10))=0,"",((B10)-(C10))/(ABS((C10))))</f>
        <v>2.929766286024472</v>
      </c>
    </row>
    <row r="11" spans="1:5" x14ac:dyDescent="0.2">
      <c r="A11" s="38" t="s">
        <v>7</v>
      </c>
      <c r="B11" s="48">
        <f>(B9)+(B10)</f>
        <v>49351.32</v>
      </c>
      <c r="C11" s="48">
        <f>(C9)+(C10)</f>
        <v>65024.23</v>
      </c>
      <c r="D11" s="48">
        <f>(B11)-(C11)</f>
        <v>-15672.910000000003</v>
      </c>
      <c r="E11" s="41">
        <f>IF(ABS((C11))=0,"",((B11)-(C11))/(ABS((C11))))</f>
        <v>-0.2410318430529666</v>
      </c>
    </row>
    <row r="12" spans="1:5" x14ac:dyDescent="0.2">
      <c r="A12" s="38" t="s">
        <v>165</v>
      </c>
      <c r="B12" s="49"/>
      <c r="C12" s="49"/>
      <c r="D12" s="49"/>
      <c r="E12" s="39"/>
    </row>
    <row r="13" spans="1:5" x14ac:dyDescent="0.2">
      <c r="A13" s="38" t="s">
        <v>166</v>
      </c>
      <c r="B13" s="47">
        <f>191429.03</f>
        <v>191429.03</v>
      </c>
      <c r="C13" s="47">
        <f>0</f>
        <v>0</v>
      </c>
      <c r="D13" s="47">
        <f>(B13)-(C13)</f>
        <v>191429.03</v>
      </c>
      <c r="E13" s="40" t="str">
        <f>IF(ABS((C13))=0,"",((B13)-(C13))/(ABS((C13))))</f>
        <v/>
      </c>
    </row>
    <row r="14" spans="1:5" x14ac:dyDescent="0.2">
      <c r="A14" s="38" t="s">
        <v>167</v>
      </c>
      <c r="B14" s="48">
        <f>B13</f>
        <v>191429.03</v>
      </c>
      <c r="C14" s="48">
        <f>C13</f>
        <v>0</v>
      </c>
      <c r="D14" s="48">
        <f>(B14)-(C14)</f>
        <v>191429.03</v>
      </c>
      <c r="E14" s="41" t="str">
        <f>IF(ABS((C14))=0,"",((B14)-(C14))/(ABS((C14))))</f>
        <v/>
      </c>
    </row>
    <row r="15" spans="1:5" x14ac:dyDescent="0.2">
      <c r="A15" s="38" t="s">
        <v>95</v>
      </c>
      <c r="B15" s="49"/>
      <c r="C15" s="49"/>
      <c r="D15" s="49"/>
      <c r="E15" s="39"/>
    </row>
    <row r="16" spans="1:5" hidden="1" x14ac:dyDescent="0.2">
      <c r="A16" s="38" t="s">
        <v>8</v>
      </c>
      <c r="B16" s="47">
        <f>0</f>
        <v>0</v>
      </c>
      <c r="C16" s="47">
        <f>0</f>
        <v>0</v>
      </c>
      <c r="D16" s="47">
        <f t="shared" ref="D16:D24" si="0">(B16)-(C16)</f>
        <v>0</v>
      </c>
      <c r="E16" s="40" t="str">
        <f t="shared" ref="E16:E24" si="1">IF(ABS((C16))=0,"",((B16)-(C16))/(ABS((C16))))</f>
        <v/>
      </c>
    </row>
    <row r="17" spans="1:9" x14ac:dyDescent="0.2">
      <c r="A17" s="38" t="s">
        <v>9</v>
      </c>
      <c r="B17" s="49"/>
      <c r="C17" s="49"/>
      <c r="D17" s="47"/>
      <c r="E17" s="40" t="str">
        <f t="shared" si="1"/>
        <v/>
      </c>
    </row>
    <row r="18" spans="1:9" hidden="1" x14ac:dyDescent="0.2">
      <c r="A18" s="38" t="s">
        <v>10</v>
      </c>
      <c r="B18" s="47">
        <f>0</f>
        <v>0</v>
      </c>
      <c r="C18" s="47">
        <f>0</f>
        <v>0</v>
      </c>
      <c r="D18" s="47">
        <f t="shared" si="0"/>
        <v>0</v>
      </c>
      <c r="E18" s="40" t="str">
        <f t="shared" si="1"/>
        <v/>
      </c>
    </row>
    <row r="19" spans="1:9" x14ac:dyDescent="0.2">
      <c r="A19" s="38" t="s">
        <v>11</v>
      </c>
      <c r="B19" s="47">
        <f>158321.47</f>
        <v>158321.47</v>
      </c>
      <c r="C19" s="47">
        <f>134352.7</f>
        <v>134352.70000000001</v>
      </c>
      <c r="D19" s="47">
        <f t="shared" si="0"/>
        <v>23968.76999999999</v>
      </c>
      <c r="E19" s="40">
        <f t="shared" si="1"/>
        <v>0.17840184826951738</v>
      </c>
    </row>
    <row r="20" spans="1:9" x14ac:dyDescent="0.2">
      <c r="A20" s="38" t="s">
        <v>168</v>
      </c>
      <c r="B20" s="47">
        <f>114341.06</f>
        <v>114341.06</v>
      </c>
      <c r="C20" s="47">
        <f>110906.03</f>
        <v>110906.03</v>
      </c>
      <c r="D20" s="47">
        <f t="shared" si="0"/>
        <v>3435.0299999999988</v>
      </c>
      <c r="E20" s="40">
        <f t="shared" si="1"/>
        <v>3.0972436755693077E-2</v>
      </c>
    </row>
    <row r="21" spans="1:9" x14ac:dyDescent="0.2">
      <c r="A21" s="38" t="s">
        <v>97</v>
      </c>
      <c r="B21" s="47">
        <f>131928.92</f>
        <v>131928.92000000001</v>
      </c>
      <c r="C21" s="47">
        <f>103284.55</f>
        <v>103284.55</v>
      </c>
      <c r="D21" s="47">
        <f t="shared" si="0"/>
        <v>28644.37000000001</v>
      </c>
      <c r="E21" s="40">
        <f t="shared" si="1"/>
        <v>0.27733450937240867</v>
      </c>
      <c r="H21" s="25" t="s">
        <v>191</v>
      </c>
      <c r="I21" s="60" t="s">
        <v>191</v>
      </c>
    </row>
    <row r="22" spans="1:9" x14ac:dyDescent="0.2">
      <c r="A22" s="38" t="s">
        <v>12</v>
      </c>
      <c r="B22" s="48">
        <f>((((B17)+(B18))+(B19))+(B20))+(B21)</f>
        <v>404591.45000000007</v>
      </c>
      <c r="C22" s="48">
        <f>((((C17)+(C18))+(C19))+(C20))+(C21)</f>
        <v>348543.28</v>
      </c>
      <c r="D22" s="48">
        <f t="shared" si="0"/>
        <v>56048.170000000042</v>
      </c>
      <c r="E22" s="41">
        <f t="shared" si="1"/>
        <v>0.16080691614539244</v>
      </c>
    </row>
    <row r="23" spans="1:9" x14ac:dyDescent="0.2">
      <c r="A23" s="38" t="s">
        <v>96</v>
      </c>
      <c r="B23" s="48">
        <f>(B16)+(B22)</f>
        <v>404591.45000000007</v>
      </c>
      <c r="C23" s="48">
        <f>(C16)+(C22)</f>
        <v>348543.28</v>
      </c>
      <c r="D23" s="48">
        <f t="shared" si="0"/>
        <v>56048.170000000042</v>
      </c>
      <c r="E23" s="41">
        <f t="shared" si="1"/>
        <v>0.16080691614539244</v>
      </c>
    </row>
    <row r="24" spans="1:9" x14ac:dyDescent="0.2">
      <c r="A24" s="38" t="s">
        <v>13</v>
      </c>
      <c r="B24" s="48">
        <f>((B11)+(B14))+(B23)</f>
        <v>645371.80000000005</v>
      </c>
      <c r="C24" s="48">
        <f>((C11)+(C14))+(C23)</f>
        <v>413567.51</v>
      </c>
      <c r="D24" s="48">
        <f t="shared" si="0"/>
        <v>231804.29000000004</v>
      </c>
      <c r="E24" s="41">
        <f t="shared" si="1"/>
        <v>0.5604992761641262</v>
      </c>
    </row>
    <row r="25" spans="1:9" x14ac:dyDescent="0.2">
      <c r="A25" s="38" t="s">
        <v>14</v>
      </c>
      <c r="B25" s="49"/>
      <c r="C25" s="49"/>
      <c r="D25" s="49"/>
      <c r="E25" s="39"/>
    </row>
    <row r="26" spans="1:9" x14ac:dyDescent="0.2">
      <c r="A26" s="38" t="s">
        <v>15</v>
      </c>
      <c r="B26" s="47">
        <f>700000</f>
        <v>700000</v>
      </c>
      <c r="C26" s="47">
        <f>700000</f>
        <v>700000</v>
      </c>
      <c r="D26" s="47">
        <f>(B26)-(C26)</f>
        <v>0</v>
      </c>
      <c r="E26" s="40">
        <f>IF(ABS((C26))=0,"",((B26)-(C26))/(ABS((C26))))</f>
        <v>0</v>
      </c>
    </row>
    <row r="27" spans="1:9" x14ac:dyDescent="0.2">
      <c r="A27" s="38" t="s">
        <v>16</v>
      </c>
      <c r="B27" s="47">
        <f>2079000</f>
        <v>2079000</v>
      </c>
      <c r="C27" s="47">
        <f>2079000</f>
        <v>2079000</v>
      </c>
      <c r="D27" s="47">
        <f>(B27)-(C27)</f>
        <v>0</v>
      </c>
      <c r="E27" s="40">
        <f>IF(ABS((C27))=0,"",((B27)-(C27))/(ABS((C27))))</f>
        <v>0</v>
      </c>
    </row>
    <row r="28" spans="1:9" x14ac:dyDescent="0.2">
      <c r="A28" s="38" t="s">
        <v>17</v>
      </c>
      <c r="B28" s="47">
        <f>206000</f>
        <v>206000</v>
      </c>
      <c r="C28" s="47">
        <f>206000</f>
        <v>206000</v>
      </c>
      <c r="D28" s="47">
        <f>(B28)-(C28)</f>
        <v>0</v>
      </c>
      <c r="E28" s="40">
        <f>IF(ABS((C28))=0,"",((B28)-(C28))/(ABS((C28))))</f>
        <v>0</v>
      </c>
    </row>
    <row r="29" spans="1:9" x14ac:dyDescent="0.2">
      <c r="A29" s="38" t="s">
        <v>18</v>
      </c>
      <c r="B29" s="48">
        <f>((B26)+(B27))+(B28)</f>
        <v>2985000</v>
      </c>
      <c r="C29" s="48">
        <f>((C26)+(C27))+(C28)</f>
        <v>2985000</v>
      </c>
      <c r="D29" s="48">
        <f>(B29)-(C29)</f>
        <v>0</v>
      </c>
      <c r="E29" s="41">
        <f>IF(ABS((C29))=0,"",((B29)-(C29))/(ABS((C29))))</f>
        <v>0</v>
      </c>
    </row>
    <row r="30" spans="1:9" x14ac:dyDescent="0.2">
      <c r="A30" s="38" t="s">
        <v>19</v>
      </c>
      <c r="B30" s="48">
        <f>(B24)+(B29)</f>
        <v>3630371.8</v>
      </c>
      <c r="C30" s="48">
        <f>(C24)+(C29)</f>
        <v>3398567.51</v>
      </c>
      <c r="D30" s="48">
        <f>(B30)-(C30)</f>
        <v>231804.29000000004</v>
      </c>
      <c r="E30" s="41">
        <f>IF(ABS((C30))=0,"",((B30)-(C30))/(ABS((C30))))</f>
        <v>6.8206469142641821E-2</v>
      </c>
    </row>
    <row r="31" spans="1:9" x14ac:dyDescent="0.2">
      <c r="A31" s="38" t="s">
        <v>20</v>
      </c>
      <c r="B31" s="49"/>
      <c r="C31" s="49"/>
      <c r="D31" s="49"/>
      <c r="E31" s="39"/>
    </row>
    <row r="32" spans="1:9" x14ac:dyDescent="0.2">
      <c r="A32" s="38" t="s">
        <v>21</v>
      </c>
      <c r="B32" s="49"/>
      <c r="C32" s="49"/>
      <c r="D32" s="49"/>
      <c r="E32" s="39"/>
    </row>
    <row r="33" spans="1:5" x14ac:dyDescent="0.2">
      <c r="A33" s="38" t="s">
        <v>22</v>
      </c>
      <c r="B33" s="49"/>
      <c r="C33" s="49"/>
      <c r="D33" s="49"/>
      <c r="E33" s="39"/>
    </row>
    <row r="34" spans="1:5" x14ac:dyDescent="0.2">
      <c r="A34" s="38" t="s">
        <v>169</v>
      </c>
      <c r="B34" s="49"/>
      <c r="C34" s="49"/>
      <c r="D34" s="49"/>
      <c r="E34" s="39"/>
    </row>
    <row r="35" spans="1:5" x14ac:dyDescent="0.2">
      <c r="A35" s="38" t="s">
        <v>170</v>
      </c>
      <c r="B35" s="47">
        <f>1218</f>
        <v>1218</v>
      </c>
      <c r="C35" s="47">
        <f>0</f>
        <v>0</v>
      </c>
      <c r="D35" s="47">
        <f>(B35)-(C35)</f>
        <v>1218</v>
      </c>
      <c r="E35" s="40" t="str">
        <f>IF(ABS((C35))=0,"",((B35)-(C35))/(ABS((C35))))</f>
        <v/>
      </c>
    </row>
    <row r="36" spans="1:5" x14ac:dyDescent="0.2">
      <c r="A36" s="38" t="s">
        <v>171</v>
      </c>
      <c r="B36" s="48">
        <f>B35</f>
        <v>1218</v>
      </c>
      <c r="C36" s="48">
        <f>C35</f>
        <v>0</v>
      </c>
      <c r="D36" s="48">
        <f>(B36)-(C36)</f>
        <v>1218</v>
      </c>
      <c r="E36" s="41" t="str">
        <f>IF(ABS((C36))=0,"",((B36)-(C36))/(ABS((C36))))</f>
        <v/>
      </c>
    </row>
    <row r="37" spans="1:5" x14ac:dyDescent="0.2">
      <c r="A37" s="38" t="s">
        <v>23</v>
      </c>
      <c r="B37" s="49"/>
      <c r="C37" s="49"/>
      <c r="D37" s="49"/>
      <c r="E37" s="39"/>
    </row>
    <row r="38" spans="1:5" x14ac:dyDescent="0.2">
      <c r="A38" s="38" t="s">
        <v>24</v>
      </c>
      <c r="B38" s="47">
        <f>352</f>
        <v>352</v>
      </c>
      <c r="C38" s="47">
        <f>1789</f>
        <v>1789</v>
      </c>
      <c r="D38" s="47">
        <f t="shared" ref="D38:D52" si="2">(B38)-(C38)</f>
        <v>-1437</v>
      </c>
      <c r="E38" s="40">
        <f t="shared" ref="E38:E52" si="3">IF(ABS((C38))=0,"",((B38)-(C38))/(ABS((C38))))</f>
        <v>-0.80324203465623256</v>
      </c>
    </row>
    <row r="39" spans="1:5" x14ac:dyDescent="0.2">
      <c r="A39" s="38" t="s">
        <v>25</v>
      </c>
      <c r="B39" s="47">
        <f>0</f>
        <v>0</v>
      </c>
      <c r="C39" s="47">
        <f>15427.45</f>
        <v>15427.45</v>
      </c>
      <c r="D39" s="47">
        <f t="shared" si="2"/>
        <v>-15427.45</v>
      </c>
      <c r="E39" s="40">
        <f t="shared" si="3"/>
        <v>-1</v>
      </c>
    </row>
    <row r="40" spans="1:5" x14ac:dyDescent="0.2">
      <c r="A40" s="38" t="s">
        <v>26</v>
      </c>
      <c r="B40" s="47">
        <f>0</f>
        <v>0</v>
      </c>
      <c r="C40" s="47">
        <f>3310</f>
        <v>3310</v>
      </c>
      <c r="D40" s="47">
        <f t="shared" si="2"/>
        <v>-3310</v>
      </c>
      <c r="E40" s="40">
        <f t="shared" si="3"/>
        <v>-1</v>
      </c>
    </row>
    <row r="41" spans="1:5" x14ac:dyDescent="0.2">
      <c r="A41" s="38" t="s">
        <v>98</v>
      </c>
      <c r="B41" s="47">
        <f>0</f>
        <v>0</v>
      </c>
      <c r="C41" s="47">
        <f>780</f>
        <v>780</v>
      </c>
      <c r="D41" s="47">
        <f t="shared" si="2"/>
        <v>-780</v>
      </c>
      <c r="E41" s="40">
        <f t="shared" si="3"/>
        <v>-1</v>
      </c>
    </row>
    <row r="42" spans="1:5" x14ac:dyDescent="0.2">
      <c r="A42" s="38" t="s">
        <v>27</v>
      </c>
      <c r="B42" s="47">
        <f>11562.62</f>
        <v>11562.62</v>
      </c>
      <c r="C42" s="47">
        <f>11688.15</f>
        <v>11688.15</v>
      </c>
      <c r="D42" s="47">
        <f t="shared" si="2"/>
        <v>-125.52999999999884</v>
      </c>
      <c r="E42" s="40">
        <f t="shared" si="3"/>
        <v>-1.0739937458023626E-2</v>
      </c>
    </row>
    <row r="43" spans="1:5" x14ac:dyDescent="0.2">
      <c r="A43" s="38" t="s">
        <v>28</v>
      </c>
      <c r="B43" s="47">
        <f>-734.22</f>
        <v>-734.22</v>
      </c>
      <c r="C43" s="47">
        <f>-1965.89</f>
        <v>-1965.89</v>
      </c>
      <c r="D43" s="47">
        <f t="shared" si="2"/>
        <v>1231.67</v>
      </c>
      <c r="E43" s="40">
        <f t="shared" si="3"/>
        <v>0.62652030378098467</v>
      </c>
    </row>
    <row r="44" spans="1:5" x14ac:dyDescent="0.2">
      <c r="A44" s="38" t="s">
        <v>29</v>
      </c>
      <c r="B44" s="47">
        <f>30896.56</f>
        <v>30896.560000000001</v>
      </c>
      <c r="C44" s="47">
        <f>23236.17</f>
        <v>23236.17</v>
      </c>
      <c r="D44" s="47">
        <f t="shared" si="2"/>
        <v>7660.3900000000031</v>
      </c>
      <c r="E44" s="40">
        <f t="shared" si="3"/>
        <v>0.32967524338133192</v>
      </c>
    </row>
    <row r="45" spans="1:5" x14ac:dyDescent="0.2">
      <c r="A45" s="38" t="s">
        <v>30</v>
      </c>
      <c r="B45" s="47">
        <f>5383.88</f>
        <v>5383.88</v>
      </c>
      <c r="C45" s="47">
        <f>6795.87</f>
        <v>6795.87</v>
      </c>
      <c r="D45" s="47">
        <f t="shared" si="2"/>
        <v>-1411.9899999999998</v>
      </c>
      <c r="E45" s="40">
        <f t="shared" si="3"/>
        <v>-0.2077717790363853</v>
      </c>
    </row>
    <row r="46" spans="1:5" x14ac:dyDescent="0.2">
      <c r="A46" s="38" t="s">
        <v>91</v>
      </c>
      <c r="B46" s="47">
        <f>-4404.26</f>
        <v>-4404.26</v>
      </c>
      <c r="C46" s="47">
        <f>-3907.97</f>
        <v>-3907.97</v>
      </c>
      <c r="D46" s="47">
        <f t="shared" si="2"/>
        <v>-496.29000000000042</v>
      </c>
      <c r="E46" s="40">
        <f t="shared" si="3"/>
        <v>-0.12699432186019863</v>
      </c>
    </row>
    <row r="47" spans="1:5" ht="22.5" x14ac:dyDescent="0.2">
      <c r="A47" s="38" t="s">
        <v>92</v>
      </c>
      <c r="B47" s="47">
        <f>3168.09</f>
        <v>3168.09</v>
      </c>
      <c r="C47" s="47">
        <f>1627.37</f>
        <v>1627.37</v>
      </c>
      <c r="D47" s="47">
        <f t="shared" si="2"/>
        <v>1540.7200000000003</v>
      </c>
      <c r="E47" s="40">
        <f t="shared" si="3"/>
        <v>0.94675457947485842</v>
      </c>
    </row>
    <row r="48" spans="1:5" ht="22.5" x14ac:dyDescent="0.2">
      <c r="A48" s="38" t="s">
        <v>172</v>
      </c>
      <c r="B48" s="47">
        <f>679.44</f>
        <v>679.44</v>
      </c>
      <c r="C48" s="47">
        <f>770.02</f>
        <v>770.02</v>
      </c>
      <c r="D48" s="47">
        <f t="shared" si="2"/>
        <v>-90.579999999999927</v>
      </c>
      <c r="E48" s="40">
        <f t="shared" si="3"/>
        <v>-0.11763330822576028</v>
      </c>
    </row>
    <row r="49" spans="1:5" x14ac:dyDescent="0.2">
      <c r="A49" s="38" t="s">
        <v>31</v>
      </c>
      <c r="B49" s="47">
        <f>10500</f>
        <v>10500</v>
      </c>
      <c r="C49" s="47">
        <f>9000</f>
        <v>9000</v>
      </c>
      <c r="D49" s="47">
        <f t="shared" si="2"/>
        <v>1500</v>
      </c>
      <c r="E49" s="40">
        <f t="shared" si="3"/>
        <v>0.16666666666666666</v>
      </c>
    </row>
    <row r="50" spans="1:5" x14ac:dyDescent="0.2">
      <c r="A50" s="38" t="s">
        <v>32</v>
      </c>
      <c r="B50" s="48">
        <f>(((((((((((B38)+(B39))+(B40))+(B41))+(B42))+(B43))+(B44))+(B45))+(B46))+(B47))+(B48))+(B49)</f>
        <v>57404.11</v>
      </c>
      <c r="C50" s="48">
        <f>(((((((((((C38)+(C39))+(C40))+(C41))+(C42))+(C43))+(C44))+(C45))+(C46))+(C47))+(C48))+(C49)</f>
        <v>68550.17</v>
      </c>
      <c r="D50" s="48">
        <f t="shared" si="2"/>
        <v>-11146.059999999998</v>
      </c>
      <c r="E50" s="41">
        <f t="shared" si="3"/>
        <v>-0.1625971168269896</v>
      </c>
    </row>
    <row r="51" spans="1:5" x14ac:dyDescent="0.2">
      <c r="A51" s="38" t="s">
        <v>33</v>
      </c>
      <c r="B51" s="48">
        <f>(B36)+(B50)</f>
        <v>58622.11</v>
      </c>
      <c r="C51" s="48">
        <f>(C36)+(C50)</f>
        <v>68550.17</v>
      </c>
      <c r="D51" s="48">
        <f t="shared" si="2"/>
        <v>-9928.0599999999977</v>
      </c>
      <c r="E51" s="41">
        <f t="shared" si="3"/>
        <v>-0.1448291083742024</v>
      </c>
    </row>
    <row r="52" spans="1:5" x14ac:dyDescent="0.2">
      <c r="A52" s="38" t="s">
        <v>34</v>
      </c>
      <c r="B52" s="48">
        <f>B51</f>
        <v>58622.11</v>
      </c>
      <c r="C52" s="48">
        <f>C51</f>
        <v>68550.17</v>
      </c>
      <c r="D52" s="48">
        <f t="shared" si="2"/>
        <v>-9928.0599999999977</v>
      </c>
      <c r="E52" s="41">
        <f t="shared" si="3"/>
        <v>-0.1448291083742024</v>
      </c>
    </row>
    <row r="53" spans="1:5" x14ac:dyDescent="0.2">
      <c r="A53" s="38" t="s">
        <v>35</v>
      </c>
      <c r="B53" s="49"/>
      <c r="C53" s="49"/>
      <c r="D53" s="49"/>
      <c r="E53" s="39"/>
    </row>
    <row r="54" spans="1:5" hidden="1" x14ac:dyDescent="0.2">
      <c r="A54" s="38" t="s">
        <v>36</v>
      </c>
      <c r="B54" s="47">
        <f>0</f>
        <v>0</v>
      </c>
      <c r="C54" s="47">
        <f>0</f>
        <v>0</v>
      </c>
      <c r="D54" s="47">
        <f t="shared" ref="D54:D74" si="4">(B54)-(C54)</f>
        <v>0</v>
      </c>
      <c r="E54" s="40" t="str">
        <f t="shared" ref="E54:E74" si="5">IF(ABS((C54))=0,"",((B54)-(C54))/(ABS((C54))))</f>
        <v/>
      </c>
    </row>
    <row r="55" spans="1:5" x14ac:dyDescent="0.2">
      <c r="A55" s="38" t="s">
        <v>37</v>
      </c>
      <c r="B55" s="47">
        <f>2908.57</f>
        <v>2908.57</v>
      </c>
      <c r="C55" s="47">
        <f>18369.04</f>
        <v>18369.04</v>
      </c>
      <c r="D55" s="47">
        <f t="shared" si="4"/>
        <v>-15460.470000000001</v>
      </c>
      <c r="E55" s="40">
        <f t="shared" si="5"/>
        <v>-0.84165911773288105</v>
      </c>
    </row>
    <row r="56" spans="1:5" x14ac:dyDescent="0.2">
      <c r="A56" s="38" t="s">
        <v>173</v>
      </c>
      <c r="B56" s="49"/>
      <c r="C56" s="49"/>
      <c r="D56" s="47"/>
      <c r="E56" s="40" t="str">
        <f t="shared" si="5"/>
        <v/>
      </c>
    </row>
    <row r="57" spans="1:5" ht="22.5" x14ac:dyDescent="0.2">
      <c r="A57" s="38" t="s">
        <v>174</v>
      </c>
      <c r="B57" s="47">
        <f>131928.92</f>
        <v>131928.92000000001</v>
      </c>
      <c r="C57" s="47">
        <f>103284.55</f>
        <v>103284.55</v>
      </c>
      <c r="D57" s="47">
        <f t="shared" si="4"/>
        <v>28644.37000000001</v>
      </c>
      <c r="E57" s="40">
        <f t="shared" si="5"/>
        <v>0.27733450937240867</v>
      </c>
    </row>
    <row r="58" spans="1:5" x14ac:dyDescent="0.2">
      <c r="A58" s="38" t="s">
        <v>175</v>
      </c>
      <c r="B58" s="47">
        <f>237318.04</f>
        <v>237318.04</v>
      </c>
      <c r="C58" s="47">
        <f>219965.96</f>
        <v>219965.96</v>
      </c>
      <c r="D58" s="47">
        <f t="shared" si="4"/>
        <v>17352.080000000016</v>
      </c>
      <c r="E58" s="40">
        <f t="shared" si="5"/>
        <v>7.8885296615894648E-2</v>
      </c>
    </row>
    <row r="59" spans="1:5" x14ac:dyDescent="0.2">
      <c r="A59" s="38" t="s">
        <v>176</v>
      </c>
      <c r="B59" s="48">
        <f>((B56)+(B57))+(B58)</f>
        <v>369246.96</v>
      </c>
      <c r="C59" s="48">
        <f>((C56)+(C57))+(C58)</f>
        <v>323250.51</v>
      </c>
      <c r="D59" s="48">
        <f t="shared" si="4"/>
        <v>45996.450000000012</v>
      </c>
      <c r="E59" s="41">
        <f t="shared" si="5"/>
        <v>0.14229351099863696</v>
      </c>
    </row>
    <row r="60" spans="1:5" x14ac:dyDescent="0.2">
      <c r="A60" s="38" t="s">
        <v>177</v>
      </c>
      <c r="B60" s="49"/>
      <c r="C60" s="49"/>
      <c r="D60" s="47"/>
      <c r="E60" s="40" t="str">
        <f t="shared" si="5"/>
        <v/>
      </c>
    </row>
    <row r="61" spans="1:5" x14ac:dyDescent="0.2">
      <c r="A61" s="38" t="s">
        <v>178</v>
      </c>
      <c r="B61" s="47">
        <f>-2706.95</f>
        <v>-2706.95</v>
      </c>
      <c r="C61" s="47">
        <f>-79036.61</f>
        <v>-79036.61</v>
      </c>
      <c r="D61" s="47">
        <f t="shared" si="4"/>
        <v>76329.66</v>
      </c>
      <c r="E61" s="40">
        <f t="shared" si="5"/>
        <v>0.96575068186755486</v>
      </c>
    </row>
    <row r="62" spans="1:5" hidden="1" x14ac:dyDescent="0.2">
      <c r="A62" s="38" t="s">
        <v>179</v>
      </c>
      <c r="B62" s="47">
        <f>0</f>
        <v>0</v>
      </c>
      <c r="C62" s="47">
        <f>0</f>
        <v>0</v>
      </c>
      <c r="D62" s="47">
        <f t="shared" si="4"/>
        <v>0</v>
      </c>
      <c r="E62" s="40" t="str">
        <f t="shared" si="5"/>
        <v/>
      </c>
    </row>
    <row r="63" spans="1:5" x14ac:dyDescent="0.2">
      <c r="A63" s="38" t="s">
        <v>180</v>
      </c>
      <c r="B63" s="47">
        <f>1354.06</f>
        <v>1354.06</v>
      </c>
      <c r="C63" s="47">
        <f>1819.06</f>
        <v>1819.06</v>
      </c>
      <c r="D63" s="47">
        <f t="shared" si="4"/>
        <v>-465</v>
      </c>
      <c r="E63" s="40">
        <f t="shared" si="5"/>
        <v>-0.25562653238485811</v>
      </c>
    </row>
    <row r="64" spans="1:5" x14ac:dyDescent="0.2">
      <c r="A64" s="38" t="s">
        <v>181</v>
      </c>
      <c r="B64" s="47">
        <f>18973.24</f>
        <v>18973.240000000002</v>
      </c>
      <c r="C64" s="47">
        <f>15259.18</f>
        <v>15259.18</v>
      </c>
      <c r="D64" s="47">
        <f t="shared" si="4"/>
        <v>3714.0600000000013</v>
      </c>
      <c r="E64" s="40">
        <f t="shared" si="5"/>
        <v>0.24339840017615633</v>
      </c>
    </row>
    <row r="65" spans="1:5" x14ac:dyDescent="0.2">
      <c r="A65" s="38" t="s">
        <v>182</v>
      </c>
      <c r="B65" s="47">
        <f>5406.63</f>
        <v>5406.63</v>
      </c>
      <c r="C65" s="47">
        <f>5286.63</f>
        <v>5286.63</v>
      </c>
      <c r="D65" s="47">
        <f t="shared" si="4"/>
        <v>120</v>
      </c>
      <c r="E65" s="40">
        <f t="shared" si="5"/>
        <v>2.2698770294119316E-2</v>
      </c>
    </row>
    <row r="66" spans="1:5" ht="22.5" x14ac:dyDescent="0.2">
      <c r="A66" s="38" t="s">
        <v>183</v>
      </c>
      <c r="B66" s="48">
        <f>(((((B60)+(B61))+(B62))+(B63))+(B64))+(B65)</f>
        <v>23026.980000000003</v>
      </c>
      <c r="C66" s="48">
        <f>(((((C60)+(C61))+(C62))+(C63))+(C64))+(C65)</f>
        <v>-56671.740000000005</v>
      </c>
      <c r="D66" s="48">
        <f t="shared" si="4"/>
        <v>79698.720000000001</v>
      </c>
      <c r="E66" s="41">
        <f t="shared" si="5"/>
        <v>1.4063220928102789</v>
      </c>
    </row>
    <row r="67" spans="1:5" x14ac:dyDescent="0.2">
      <c r="A67" s="38" t="s">
        <v>184</v>
      </c>
      <c r="B67" s="49"/>
      <c r="C67" s="49"/>
      <c r="D67" s="47"/>
      <c r="E67" s="40" t="str">
        <f t="shared" si="5"/>
        <v/>
      </c>
    </row>
    <row r="68" spans="1:5" x14ac:dyDescent="0.2">
      <c r="A68" s="38" t="s">
        <v>185</v>
      </c>
      <c r="B68" s="47">
        <f>75530</f>
        <v>75530</v>
      </c>
      <c r="C68" s="47">
        <f>75530</f>
        <v>75530</v>
      </c>
      <c r="D68" s="47">
        <f t="shared" si="4"/>
        <v>0</v>
      </c>
      <c r="E68" s="40">
        <f t="shared" si="5"/>
        <v>0</v>
      </c>
    </row>
    <row r="69" spans="1:5" ht="22.5" x14ac:dyDescent="0.2">
      <c r="A69" s="38" t="s">
        <v>186</v>
      </c>
      <c r="B69" s="48">
        <f>(B67)+(B68)</f>
        <v>75530</v>
      </c>
      <c r="C69" s="48">
        <f>(C67)+(C68)</f>
        <v>75530</v>
      </c>
      <c r="D69" s="48">
        <f t="shared" si="4"/>
        <v>0</v>
      </c>
      <c r="E69" s="41">
        <f t="shared" si="5"/>
        <v>0</v>
      </c>
    </row>
    <row r="70" spans="1:5" x14ac:dyDescent="0.2">
      <c r="A70" s="38" t="s">
        <v>38</v>
      </c>
      <c r="B70" s="47">
        <f>2985000</f>
        <v>2985000</v>
      </c>
      <c r="C70" s="47">
        <f>2985000</f>
        <v>2985000</v>
      </c>
      <c r="D70" s="47">
        <f t="shared" si="4"/>
        <v>0</v>
      </c>
      <c r="E70" s="40">
        <f t="shared" si="5"/>
        <v>0</v>
      </c>
    </row>
    <row r="71" spans="1:5" hidden="1" x14ac:dyDescent="0.2">
      <c r="A71" s="38" t="s">
        <v>39</v>
      </c>
      <c r="B71" s="47">
        <f>0</f>
        <v>0</v>
      </c>
      <c r="C71" s="47">
        <f>0</f>
        <v>0</v>
      </c>
      <c r="D71" s="47">
        <f t="shared" si="4"/>
        <v>0</v>
      </c>
      <c r="E71" s="40" t="str">
        <f t="shared" si="5"/>
        <v/>
      </c>
    </row>
    <row r="72" spans="1:5" x14ac:dyDescent="0.2">
      <c r="A72" s="38" t="s">
        <v>40</v>
      </c>
      <c r="B72" s="47">
        <f>116037.18</f>
        <v>116037.18</v>
      </c>
      <c r="C72" s="47">
        <f>-15460.47</f>
        <v>-15460.47</v>
      </c>
      <c r="D72" s="47">
        <f t="shared" si="4"/>
        <v>131497.65</v>
      </c>
      <c r="E72" s="40">
        <f t="shared" si="5"/>
        <v>8.5054108963052215</v>
      </c>
    </row>
    <row r="73" spans="1:5" x14ac:dyDescent="0.2">
      <c r="A73" s="38" t="s">
        <v>41</v>
      </c>
      <c r="B73" s="48">
        <f>(((((((B54)+(B55))+(B59))+(B66))+(B69))+(B70))+(B71))+(B72)</f>
        <v>3571749.69</v>
      </c>
      <c r="C73" s="48">
        <f>(((((((C54)+(C55))+(C59))+(C66))+(C69))+(C70))+(C71))+(C72)</f>
        <v>3330017.34</v>
      </c>
      <c r="D73" s="48">
        <f t="shared" si="4"/>
        <v>241732.35000000009</v>
      </c>
      <c r="E73" s="41">
        <f t="shared" si="5"/>
        <v>7.2591919296131985E-2</v>
      </c>
    </row>
    <row r="74" spans="1:5" x14ac:dyDescent="0.2">
      <c r="A74" s="38" t="s">
        <v>42</v>
      </c>
      <c r="B74" s="48">
        <f>(B52)+(B73)</f>
        <v>3630371.8</v>
      </c>
      <c r="C74" s="48">
        <f>(C52)+(C73)</f>
        <v>3398567.51</v>
      </c>
      <c r="D74" s="48">
        <f t="shared" si="4"/>
        <v>231804.29000000004</v>
      </c>
      <c r="E74" s="41">
        <f t="shared" si="5"/>
        <v>6.8206469142641821E-2</v>
      </c>
    </row>
    <row r="75" spans="1:5" x14ac:dyDescent="0.2">
      <c r="A75" s="38"/>
      <c r="B75" s="39"/>
      <c r="C75" s="39"/>
      <c r="D75" s="39"/>
      <c r="E75" s="39"/>
    </row>
    <row r="78" spans="1:5" x14ac:dyDescent="0.2">
      <c r="A78" s="53"/>
      <c r="B78" s="54"/>
      <c r="C78" s="54"/>
      <c r="D78" s="54"/>
      <c r="E78" s="54"/>
    </row>
  </sheetData>
  <mergeCells count="4">
    <mergeCell ref="A78:E78"/>
    <mergeCell ref="A1:E1"/>
    <mergeCell ref="A2:E2"/>
    <mergeCell ref="A3:E3"/>
  </mergeCells>
  <printOptions horizontalCentered="1"/>
  <pageMargins left="0.25" right="0.25" top="0.25" bottom="0.25" header="0.3" footer="0.3"/>
  <pageSetup scale="77"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J61"/>
  <sheetViews>
    <sheetView workbookViewId="0"/>
  </sheetViews>
  <sheetFormatPr defaultColWidth="9.140625" defaultRowHeight="12.75" x14ac:dyDescent="0.2"/>
  <cols>
    <col min="1" max="1" width="3" style="13" customWidth="1"/>
    <col min="2" max="3" width="3" style="14" customWidth="1"/>
    <col min="4" max="4" width="36.5703125" style="14" bestFit="1" customWidth="1"/>
    <col min="5" max="5" width="12" style="1" bestFit="1" customWidth="1"/>
    <col min="6" max="6" width="11.28515625" style="1" bestFit="1" customWidth="1"/>
    <col min="7" max="7" width="1.85546875" style="1" customWidth="1"/>
    <col min="8" max="8" width="10.7109375" style="1" bestFit="1" customWidth="1"/>
    <col min="9" max="9" width="11.140625" style="1" bestFit="1" customWidth="1"/>
    <col min="10" max="10" width="2.140625" style="1" customWidth="1"/>
    <col min="11" max="16384" width="9.140625" style="1"/>
  </cols>
  <sheetData>
    <row r="1" spans="1:244" customFormat="1" ht="13.5" customHeight="1" x14ac:dyDescent="0.25">
      <c r="D1" s="58" t="s">
        <v>3</v>
      </c>
      <c r="E1" s="59"/>
      <c r="F1" s="59"/>
      <c r="G1" s="59"/>
      <c r="H1" s="59"/>
      <c r="I1" s="59"/>
      <c r="J1" s="1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row>
    <row r="2" spans="1:244" customFormat="1" ht="12.95" customHeight="1" x14ac:dyDescent="0.2">
      <c r="D2" s="52" t="s">
        <v>188</v>
      </c>
      <c r="E2" s="57"/>
      <c r="F2" s="57"/>
      <c r="G2" s="57"/>
      <c r="H2" s="57"/>
      <c r="I2" s="57"/>
      <c r="J2" s="15"/>
      <c r="K2" s="1"/>
      <c r="L2" s="1"/>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row>
    <row r="3" spans="1:244" ht="6.6" customHeight="1" thickBot="1" x14ac:dyDescent="0.25">
      <c r="A3" s="2"/>
      <c r="B3" s="3"/>
      <c r="C3" s="3"/>
      <c r="D3" s="3"/>
      <c r="E3" s="3"/>
      <c r="F3" s="3"/>
      <c r="H3" s="3"/>
      <c r="J3" s="15"/>
    </row>
    <row r="4" spans="1:244" ht="16.5" customHeight="1" thickTop="1" thickBot="1" x14ac:dyDescent="0.25">
      <c r="A4" s="5"/>
      <c r="B4" s="6"/>
      <c r="C4" s="6"/>
      <c r="D4" s="6"/>
      <c r="E4" s="7" t="s">
        <v>189</v>
      </c>
      <c r="F4" s="7" t="s">
        <v>190</v>
      </c>
      <c r="H4" s="16" t="s">
        <v>43</v>
      </c>
      <c r="I4" s="16" t="s">
        <v>89</v>
      </c>
      <c r="J4" s="15"/>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row>
    <row r="5" spans="1:244" ht="6.95" customHeight="1" thickTop="1" x14ac:dyDescent="0.2">
      <c r="A5" s="2"/>
      <c r="B5" s="3"/>
      <c r="C5" s="3"/>
      <c r="D5" s="3"/>
      <c r="F5" s="17"/>
      <c r="H5" s="17"/>
      <c r="J5" s="15"/>
    </row>
    <row r="6" spans="1:244" ht="12.6" customHeight="1" x14ac:dyDescent="0.2">
      <c r="A6" s="2"/>
      <c r="B6" s="3" t="s">
        <v>0</v>
      </c>
      <c r="C6" s="3"/>
      <c r="D6" s="3"/>
      <c r="F6" s="18"/>
      <c r="H6" s="18"/>
      <c r="J6" s="15"/>
    </row>
    <row r="7" spans="1:244" ht="12.6" customHeight="1" x14ac:dyDescent="0.2">
      <c r="A7" s="2"/>
      <c r="B7" s="3"/>
      <c r="C7" s="3" t="s">
        <v>99</v>
      </c>
      <c r="D7" s="3"/>
      <c r="E7" s="10">
        <v>203837.25</v>
      </c>
      <c r="F7" s="26">
        <f>'2020 Budget vs 2020 Actual'!B7</f>
        <v>180997.82</v>
      </c>
      <c r="H7" s="10">
        <f>E7-F7</f>
        <v>22839.429999999993</v>
      </c>
      <c r="I7" s="19">
        <f>E7/F7-1</f>
        <v>0.12618621594447932</v>
      </c>
      <c r="J7" s="15"/>
    </row>
    <row r="8" spans="1:244" ht="12.6" customHeight="1" x14ac:dyDescent="0.2">
      <c r="A8" s="2"/>
      <c r="B8" s="3"/>
      <c r="C8" s="3" t="s">
        <v>44</v>
      </c>
      <c r="D8" s="3"/>
      <c r="E8" s="10">
        <v>20000</v>
      </c>
      <c r="F8" s="26">
        <f>'2020 Budget vs 2020 Actual'!B8</f>
        <v>22446.400000000001</v>
      </c>
      <c r="H8" s="10">
        <f t="shared" ref="H8:H56" si="0">E8-F8</f>
        <v>-2446.4000000000015</v>
      </c>
      <c r="I8" s="19">
        <f t="shared" ref="I8:I56" si="1">E8/F8-1</f>
        <v>-0.10898852377218626</v>
      </c>
      <c r="J8" s="15"/>
    </row>
    <row r="9" spans="1:244" ht="12.6" customHeight="1" x14ac:dyDescent="0.2">
      <c r="A9" s="2"/>
      <c r="B9" s="3"/>
      <c r="C9" s="3" t="s">
        <v>45</v>
      </c>
      <c r="D9" s="3"/>
      <c r="E9" s="10">
        <v>1500</v>
      </c>
      <c r="F9" s="26">
        <f>'2020 Budget vs 2020 Actual'!B9</f>
        <v>463.1</v>
      </c>
      <c r="H9" s="10">
        <f t="shared" si="0"/>
        <v>1036.9000000000001</v>
      </c>
      <c r="I9" s="19">
        <f t="shared" si="1"/>
        <v>2.2390412437918377</v>
      </c>
      <c r="J9" s="19"/>
    </row>
    <row r="10" spans="1:244" ht="12.6" customHeight="1" x14ac:dyDescent="0.2">
      <c r="A10" s="2"/>
      <c r="B10" s="3"/>
      <c r="C10" s="3" t="s">
        <v>46</v>
      </c>
      <c r="D10" s="3"/>
      <c r="E10" s="10">
        <v>68816.25</v>
      </c>
      <c r="F10" s="26">
        <f>'2020 Budget vs 2020 Actual'!B10</f>
        <v>231495.05</v>
      </c>
      <c r="H10" s="10">
        <f t="shared" si="0"/>
        <v>-162678.79999999999</v>
      </c>
      <c r="I10" s="19">
        <f t="shared" si="1"/>
        <v>-0.7027312247065326</v>
      </c>
      <c r="J10" s="19"/>
    </row>
    <row r="11" spans="1:244" ht="12.6" customHeight="1" thickBot="1" x14ac:dyDescent="0.25">
      <c r="A11" s="2"/>
      <c r="B11" s="3"/>
      <c r="C11" s="3" t="s">
        <v>47</v>
      </c>
      <c r="D11" s="3"/>
      <c r="E11" s="10">
        <v>4200</v>
      </c>
      <c r="F11" s="26">
        <f>'2020 Budget vs 2020 Actual'!B12</f>
        <v>3457.11</v>
      </c>
      <c r="H11" s="10">
        <f t="shared" si="0"/>
        <v>742.88999999999987</v>
      </c>
      <c r="I11" s="19">
        <f t="shared" si="1"/>
        <v>0.21488757951005311</v>
      </c>
      <c r="J11" s="19"/>
    </row>
    <row r="12" spans="1:244" ht="12.6" customHeight="1" x14ac:dyDescent="0.2">
      <c r="A12" s="2"/>
      <c r="B12" s="3" t="s">
        <v>1</v>
      </c>
      <c r="C12" s="3"/>
      <c r="D12" s="3"/>
      <c r="E12" s="21">
        <f>SUM(E7:E11)</f>
        <v>298353.5</v>
      </c>
      <c r="F12" s="22">
        <f>SUM(F7:F11)</f>
        <v>438859.48</v>
      </c>
      <c r="H12" s="22">
        <f t="shared" si="0"/>
        <v>-140505.97999999998</v>
      </c>
      <c r="I12" s="23">
        <f t="shared" si="1"/>
        <v>-0.32016166085782172</v>
      </c>
      <c r="J12" s="24"/>
    </row>
    <row r="13" spans="1:244" ht="12.6" customHeight="1" x14ac:dyDescent="0.2">
      <c r="A13" s="2"/>
      <c r="B13" s="3" t="s">
        <v>48</v>
      </c>
      <c r="C13" s="3"/>
      <c r="D13" s="3"/>
      <c r="E13" s="8"/>
      <c r="F13" s="10"/>
      <c r="G13" s="10"/>
      <c r="H13" s="10"/>
      <c r="I13" s="10"/>
      <c r="J13" s="10"/>
    </row>
    <row r="14" spans="1:244" ht="12.6" customHeight="1" x14ac:dyDescent="0.2">
      <c r="A14" s="2"/>
      <c r="B14" s="3"/>
      <c r="C14" s="3" t="s">
        <v>49</v>
      </c>
      <c r="D14" s="3"/>
      <c r="E14" s="9">
        <v>55200</v>
      </c>
      <c r="F14" s="26">
        <f>'2020 Budget vs 2020 Actual'!B15</f>
        <v>52872</v>
      </c>
      <c r="H14" s="10">
        <f t="shared" si="0"/>
        <v>2328</v>
      </c>
      <c r="I14" s="19">
        <f t="shared" si="1"/>
        <v>4.403086699954617E-2</v>
      </c>
      <c r="J14" s="19"/>
    </row>
    <row r="15" spans="1:244" ht="12.6" customHeight="1" x14ac:dyDescent="0.2">
      <c r="A15" s="2"/>
      <c r="B15" s="3"/>
      <c r="C15" s="3" t="s">
        <v>50</v>
      </c>
      <c r="D15" s="3"/>
      <c r="E15" s="8"/>
      <c r="F15" s="26"/>
      <c r="G15" s="8"/>
      <c r="H15" s="10"/>
      <c r="I15" s="10"/>
      <c r="J15" s="10"/>
      <c r="K15" s="10"/>
    </row>
    <row r="16" spans="1:244" ht="12.6" customHeight="1" x14ac:dyDescent="0.2">
      <c r="A16" s="2"/>
      <c r="B16" s="3"/>
      <c r="C16" s="3"/>
      <c r="D16" s="3" t="s">
        <v>51</v>
      </c>
      <c r="E16" s="9">
        <v>92604</v>
      </c>
      <c r="F16" s="26">
        <f>'2020 Budget vs 2020 Actual'!B17</f>
        <v>113081.28</v>
      </c>
      <c r="H16" s="10">
        <f t="shared" si="0"/>
        <v>-20477.28</v>
      </c>
      <c r="I16" s="19">
        <f t="shared" si="1"/>
        <v>-0.18108461453566849</v>
      </c>
      <c r="J16" s="19"/>
    </row>
    <row r="17" spans="1:11" ht="12.6" customHeight="1" x14ac:dyDescent="0.2">
      <c r="A17" s="2"/>
      <c r="B17" s="3"/>
      <c r="C17" s="3"/>
      <c r="D17" s="3" t="s">
        <v>52</v>
      </c>
      <c r="E17" s="9">
        <v>54240</v>
      </c>
      <c r="F17" s="26">
        <f>'2020 Budget vs 2020 Actual'!B18</f>
        <v>51908.75</v>
      </c>
      <c r="H17" s="10">
        <f t="shared" si="0"/>
        <v>2331.25</v>
      </c>
      <c r="I17" s="19">
        <f t="shared" si="1"/>
        <v>4.4910540130517429E-2</v>
      </c>
      <c r="J17" s="19"/>
    </row>
    <row r="18" spans="1:11" ht="12.6" customHeight="1" x14ac:dyDescent="0.2">
      <c r="A18" s="2"/>
      <c r="B18" s="3"/>
      <c r="C18" s="3"/>
      <c r="D18" s="3" t="s">
        <v>53</v>
      </c>
      <c r="E18" s="9">
        <v>2400</v>
      </c>
      <c r="F18" s="26">
        <f>'2020 Budget vs 2020 Actual'!B19</f>
        <v>3232.9100000000003</v>
      </c>
      <c r="H18" s="10">
        <f t="shared" si="0"/>
        <v>-832.91000000000031</v>
      </c>
      <c r="I18" s="19">
        <f t="shared" si="1"/>
        <v>-0.25763476248952188</v>
      </c>
      <c r="J18" s="19"/>
    </row>
    <row r="19" spans="1:11" ht="12.6" customHeight="1" x14ac:dyDescent="0.2">
      <c r="A19" s="2"/>
      <c r="B19" s="3"/>
      <c r="C19" s="3"/>
      <c r="D19" s="3" t="s">
        <v>54</v>
      </c>
      <c r="E19" s="9">
        <v>1200</v>
      </c>
      <c r="F19" s="26">
        <f>'2020 Budget vs 2020 Actual'!B20</f>
        <v>860</v>
      </c>
      <c r="H19" s="10">
        <f>E19-F19</f>
        <v>340</v>
      </c>
      <c r="I19" s="19">
        <f>E19/F19-1</f>
        <v>0.39534883720930236</v>
      </c>
      <c r="J19" s="19"/>
    </row>
    <row r="20" spans="1:11" ht="12.6" customHeight="1" x14ac:dyDescent="0.2">
      <c r="A20" s="2"/>
      <c r="B20" s="3"/>
      <c r="C20" s="3"/>
      <c r="D20" s="3" t="s">
        <v>55</v>
      </c>
      <c r="E20" s="9">
        <v>600</v>
      </c>
      <c r="F20" s="26">
        <f>'2020 Budget vs 2020 Actual'!B21</f>
        <v>479.95</v>
      </c>
      <c r="H20" s="10">
        <f>E20-F20</f>
        <v>120.05000000000001</v>
      </c>
      <c r="I20" s="19">
        <f>E20/F20-1</f>
        <v>0.25013022189811451</v>
      </c>
      <c r="J20" s="19"/>
    </row>
    <row r="21" spans="1:11" ht="12.6" customHeight="1" thickBot="1" x14ac:dyDescent="0.25">
      <c r="A21" s="2"/>
      <c r="B21" s="3"/>
      <c r="C21" s="3"/>
      <c r="D21" s="3" t="s">
        <v>56</v>
      </c>
      <c r="E21" s="9">
        <v>1500</v>
      </c>
      <c r="F21" s="26">
        <f>'2020 Budget vs 2020 Actual'!B22</f>
        <v>1500</v>
      </c>
      <c r="H21" s="10">
        <f>E21-F21</f>
        <v>0</v>
      </c>
      <c r="I21" s="19">
        <f>E21/F21-1</f>
        <v>0</v>
      </c>
      <c r="J21" s="19"/>
    </row>
    <row r="22" spans="1:11" ht="12.6" customHeight="1" x14ac:dyDescent="0.2">
      <c r="A22" s="2"/>
      <c r="B22" s="3"/>
      <c r="C22" s="3" t="s">
        <v>57</v>
      </c>
      <c r="D22" s="3"/>
      <c r="E22" s="21">
        <f>SUM(E16:E21)</f>
        <v>152544</v>
      </c>
      <c r="F22" s="22">
        <f>SUM(F16:F21)</f>
        <v>171062.89</v>
      </c>
      <c r="H22" s="22">
        <f t="shared" si="0"/>
        <v>-18518.890000000014</v>
      </c>
      <c r="I22" s="23">
        <f t="shared" si="1"/>
        <v>-0.10825778753065618</v>
      </c>
      <c r="J22" s="24"/>
    </row>
    <row r="23" spans="1:11" ht="12.6" customHeight="1" x14ac:dyDescent="0.2">
      <c r="A23" s="2"/>
      <c r="B23" s="3"/>
      <c r="C23" s="3" t="s">
        <v>58</v>
      </c>
      <c r="D23" s="3"/>
      <c r="E23" s="8"/>
      <c r="F23" s="10"/>
      <c r="G23" s="10"/>
      <c r="H23" s="10"/>
      <c r="I23" s="10"/>
      <c r="J23" s="10"/>
      <c r="K23" s="10"/>
    </row>
    <row r="24" spans="1:11" ht="12.6" customHeight="1" x14ac:dyDescent="0.2">
      <c r="A24" s="2"/>
      <c r="B24" s="3"/>
      <c r="C24" s="3"/>
      <c r="D24" s="3" t="s">
        <v>59</v>
      </c>
      <c r="E24" s="9">
        <v>35790</v>
      </c>
      <c r="F24" s="26">
        <f>'2020 Budget vs 2020 Actual'!B25</f>
        <v>34683.630000000005</v>
      </c>
      <c r="H24" s="10">
        <f t="shared" si="0"/>
        <v>1106.3699999999953</v>
      </c>
      <c r="I24" s="19">
        <f t="shared" si="1"/>
        <v>3.1898910235174105E-2</v>
      </c>
      <c r="J24" s="19"/>
    </row>
    <row r="25" spans="1:11" ht="12.6" customHeight="1" x14ac:dyDescent="0.2">
      <c r="A25" s="2"/>
      <c r="B25" s="3"/>
      <c r="C25" s="3"/>
      <c r="D25" s="3" t="s">
        <v>60</v>
      </c>
      <c r="E25" s="9">
        <v>3500</v>
      </c>
      <c r="F25" s="26">
        <f>'2020 Budget vs 2020 Actual'!B26</f>
        <v>4805.8499999999995</v>
      </c>
      <c r="H25" s="10">
        <f t="shared" si="0"/>
        <v>-1305.8499999999995</v>
      </c>
      <c r="I25" s="19">
        <f t="shared" si="1"/>
        <v>-0.27172092345786902</v>
      </c>
      <c r="J25" s="19"/>
    </row>
    <row r="26" spans="1:11" ht="12.6" customHeight="1" x14ac:dyDescent="0.2">
      <c r="A26" s="2"/>
      <c r="B26" s="3"/>
      <c r="C26" s="3"/>
      <c r="D26" s="3" t="s">
        <v>61</v>
      </c>
      <c r="E26" s="9">
        <v>750</v>
      </c>
      <c r="F26" s="26">
        <f>'2020 Budget vs 2020 Actual'!B28</f>
        <v>725.08</v>
      </c>
      <c r="H26" s="10">
        <f t="shared" si="0"/>
        <v>24.919999999999959</v>
      </c>
      <c r="I26" s="19">
        <f t="shared" si="1"/>
        <v>3.4368621393501275E-2</v>
      </c>
      <c r="J26" s="19"/>
    </row>
    <row r="27" spans="1:11" ht="12.6" customHeight="1" x14ac:dyDescent="0.2">
      <c r="A27" s="2"/>
      <c r="B27" s="3"/>
      <c r="C27" s="3"/>
      <c r="D27" s="3" t="s">
        <v>62</v>
      </c>
      <c r="E27" s="9">
        <v>3000</v>
      </c>
      <c r="F27" s="26">
        <f>'2020 Budget vs 2020 Actual'!B29</f>
        <v>631.42000000000007</v>
      </c>
      <c r="H27" s="10">
        <f t="shared" si="0"/>
        <v>2368.58</v>
      </c>
      <c r="I27" s="19">
        <f t="shared" si="1"/>
        <v>3.7511957175889261</v>
      </c>
      <c r="J27" s="19"/>
    </row>
    <row r="28" spans="1:11" ht="12.6" customHeight="1" thickBot="1" x14ac:dyDescent="0.25">
      <c r="A28" s="2"/>
      <c r="B28" s="3"/>
      <c r="C28" s="3"/>
      <c r="D28" s="3" t="s">
        <v>63</v>
      </c>
      <c r="E28" s="9">
        <v>3000</v>
      </c>
      <c r="F28" s="26">
        <f>'2020 Budget vs 2020 Actual'!B30</f>
        <v>5441.3600000000006</v>
      </c>
      <c r="H28" s="10">
        <f t="shared" si="0"/>
        <v>-2441.3600000000006</v>
      </c>
      <c r="I28" s="19">
        <f t="shared" si="1"/>
        <v>-0.44866724495346755</v>
      </c>
      <c r="J28" s="19"/>
    </row>
    <row r="29" spans="1:11" ht="12.6" customHeight="1" x14ac:dyDescent="0.2">
      <c r="A29" s="2"/>
      <c r="B29" s="3"/>
      <c r="C29" s="3" t="s">
        <v>64</v>
      </c>
      <c r="D29" s="3"/>
      <c r="E29" s="21">
        <f>SUM(E24:E28)</f>
        <v>46040</v>
      </c>
      <c r="F29" s="22">
        <f>SUM(F24:F28)</f>
        <v>46287.340000000004</v>
      </c>
      <c r="H29" s="22">
        <f t="shared" si="0"/>
        <v>-247.34000000000378</v>
      </c>
      <c r="I29" s="23">
        <f t="shared" si="1"/>
        <v>-5.3435777471767532E-3</v>
      </c>
      <c r="J29" s="24"/>
    </row>
    <row r="30" spans="1:11" ht="12.6" customHeight="1" x14ac:dyDescent="0.2">
      <c r="A30" s="2"/>
      <c r="B30" s="3"/>
      <c r="C30" s="3" t="s">
        <v>65</v>
      </c>
      <c r="D30" s="3"/>
      <c r="E30" s="8"/>
      <c r="F30" s="10"/>
      <c r="G30" s="10"/>
      <c r="H30" s="10"/>
      <c r="I30" s="10"/>
      <c r="J30" s="10"/>
    </row>
    <row r="31" spans="1:11" ht="12.6" customHeight="1" x14ac:dyDescent="0.2">
      <c r="A31" s="2"/>
      <c r="B31" s="3"/>
      <c r="C31" s="3"/>
      <c r="D31" s="3" t="s">
        <v>66</v>
      </c>
      <c r="E31" s="9">
        <v>6900</v>
      </c>
      <c r="F31" s="26">
        <f>'2020 Budget vs 2020 Actual'!B33</f>
        <v>4575.1900000000005</v>
      </c>
      <c r="H31" s="10">
        <f t="shared" si="0"/>
        <v>2324.8099999999995</v>
      </c>
      <c r="I31" s="19">
        <f t="shared" si="1"/>
        <v>0.50813408842037155</v>
      </c>
      <c r="J31" s="19"/>
    </row>
    <row r="32" spans="1:11" ht="12.6" customHeight="1" x14ac:dyDescent="0.2">
      <c r="A32" s="2"/>
      <c r="B32" s="3"/>
      <c r="C32" s="3"/>
      <c r="D32" s="3" t="s">
        <v>67</v>
      </c>
      <c r="E32" s="9">
        <v>120</v>
      </c>
      <c r="F32" s="26">
        <f>'2020 Budget vs 2020 Actual'!B34</f>
        <v>437.86</v>
      </c>
      <c r="H32" s="10">
        <f t="shared" si="0"/>
        <v>-317.86</v>
      </c>
      <c r="I32" s="19">
        <f t="shared" si="1"/>
        <v>-0.72593979810898457</v>
      </c>
      <c r="J32" s="19"/>
    </row>
    <row r="33" spans="1:10" ht="12.6" customHeight="1" x14ac:dyDescent="0.2">
      <c r="A33" s="2"/>
      <c r="B33" s="3"/>
      <c r="C33" s="3"/>
      <c r="D33" s="3" t="s">
        <v>93</v>
      </c>
      <c r="E33" s="9">
        <v>300</v>
      </c>
      <c r="F33" s="26">
        <f>'2020 Budget vs 2020 Actual'!B35</f>
        <v>353.19000000000005</v>
      </c>
      <c r="H33" s="10">
        <f t="shared" si="0"/>
        <v>-53.190000000000055</v>
      </c>
      <c r="I33" s="19">
        <f t="shared" si="1"/>
        <v>-0.15059882782638256</v>
      </c>
      <c r="J33" s="19"/>
    </row>
    <row r="34" spans="1:10" ht="12.6" customHeight="1" x14ac:dyDescent="0.2">
      <c r="A34" s="2"/>
      <c r="B34" s="3"/>
      <c r="C34" s="3"/>
      <c r="D34" s="3" t="s">
        <v>68</v>
      </c>
      <c r="E34" s="9">
        <v>100</v>
      </c>
      <c r="F34" s="26">
        <f>'2020 Budget vs 2020 Actual'!B36</f>
        <v>0</v>
      </c>
      <c r="H34" s="10">
        <f t="shared" si="0"/>
        <v>100</v>
      </c>
      <c r="I34" s="19" t="e">
        <f t="shared" si="1"/>
        <v>#DIV/0!</v>
      </c>
      <c r="J34" s="19"/>
    </row>
    <row r="35" spans="1:10" ht="12.6" customHeight="1" thickBot="1" x14ac:dyDescent="0.25">
      <c r="A35" s="2"/>
      <c r="B35" s="3"/>
      <c r="C35" s="3"/>
      <c r="D35" s="3" t="s">
        <v>69</v>
      </c>
      <c r="E35" s="9">
        <v>50</v>
      </c>
      <c r="F35" s="26">
        <f>'2020 Budget vs 2020 Actual'!B38</f>
        <v>0</v>
      </c>
      <c r="H35" s="10">
        <f t="shared" si="0"/>
        <v>50</v>
      </c>
      <c r="I35" s="19" t="e">
        <f t="shared" si="1"/>
        <v>#DIV/0!</v>
      </c>
      <c r="J35" s="19"/>
    </row>
    <row r="36" spans="1:10" ht="12.6" customHeight="1" x14ac:dyDescent="0.2">
      <c r="A36" s="2"/>
      <c r="B36" s="3"/>
      <c r="C36" s="3" t="s">
        <v>70</v>
      </c>
      <c r="D36" s="3"/>
      <c r="E36" s="21">
        <f>SUM(E31:E35)</f>
        <v>7470</v>
      </c>
      <c r="F36" s="22">
        <f>SUM(F31:F35)</f>
        <v>5366.24</v>
      </c>
      <c r="H36" s="22">
        <f t="shared" si="0"/>
        <v>2103.7600000000002</v>
      </c>
      <c r="I36" s="23">
        <f t="shared" si="1"/>
        <v>0.39203613703449713</v>
      </c>
      <c r="J36" s="24"/>
    </row>
    <row r="37" spans="1:10" ht="12.6" customHeight="1" x14ac:dyDescent="0.2">
      <c r="A37" s="2"/>
      <c r="B37" s="3"/>
      <c r="C37" s="3" t="s">
        <v>71</v>
      </c>
      <c r="D37" s="3"/>
      <c r="E37" s="8"/>
      <c r="F37" s="10"/>
      <c r="G37" s="10"/>
      <c r="H37" s="10"/>
      <c r="I37" s="10"/>
      <c r="J37" s="10"/>
    </row>
    <row r="38" spans="1:10" ht="12.6" customHeight="1" thickBot="1" x14ac:dyDescent="0.25">
      <c r="A38" s="2"/>
      <c r="B38" s="3"/>
      <c r="C38" s="3"/>
      <c r="D38" s="3" t="s">
        <v>72</v>
      </c>
      <c r="E38" s="9">
        <v>900</v>
      </c>
      <c r="F38" s="26">
        <f>'2020 Budget vs 2020 Actual'!B41</f>
        <v>354.38</v>
      </c>
      <c r="H38" s="10">
        <f t="shared" si="0"/>
        <v>545.62</v>
      </c>
      <c r="I38" s="19">
        <f t="shared" si="1"/>
        <v>1.5396467069247701</v>
      </c>
      <c r="J38" s="19"/>
    </row>
    <row r="39" spans="1:10" ht="12.6" customHeight="1" x14ac:dyDescent="0.2">
      <c r="A39" s="2"/>
      <c r="B39" s="3"/>
      <c r="C39" s="3" t="s">
        <v>73</v>
      </c>
      <c r="D39" s="3"/>
      <c r="E39" s="21">
        <f>SUM(E38:E38)</f>
        <v>900</v>
      </c>
      <c r="F39" s="22">
        <f>SUM(F38:F38)</f>
        <v>354.38</v>
      </c>
      <c r="H39" s="22">
        <f t="shared" si="0"/>
        <v>545.62</v>
      </c>
      <c r="I39" s="23">
        <f t="shared" si="1"/>
        <v>1.5396467069247701</v>
      </c>
      <c r="J39" s="24"/>
    </row>
    <row r="40" spans="1:10" ht="12.6" customHeight="1" x14ac:dyDescent="0.2">
      <c r="A40" s="2"/>
      <c r="B40" s="3"/>
      <c r="C40" s="3" t="s">
        <v>74</v>
      </c>
      <c r="D40" s="3"/>
      <c r="E40" s="8"/>
      <c r="F40" s="10"/>
      <c r="G40" s="10"/>
      <c r="H40" s="10"/>
      <c r="I40" s="10"/>
      <c r="J40" s="10"/>
    </row>
    <row r="41" spans="1:10" ht="12.6" customHeight="1" x14ac:dyDescent="0.2">
      <c r="A41" s="2"/>
      <c r="B41" s="3"/>
      <c r="C41" s="3"/>
      <c r="D41" s="3" t="s">
        <v>75</v>
      </c>
      <c r="E41" s="9">
        <v>18367.25</v>
      </c>
      <c r="F41" s="26">
        <f>'2020 Budget vs 2020 Actual'!B45</f>
        <v>18548.400000000001</v>
      </c>
      <c r="H41" s="10">
        <f t="shared" si="0"/>
        <v>-181.15000000000146</v>
      </c>
      <c r="I41" s="19">
        <f t="shared" si="1"/>
        <v>-9.7663410321107147E-3</v>
      </c>
      <c r="J41" s="19"/>
    </row>
    <row r="42" spans="1:10" ht="12.6" customHeight="1" x14ac:dyDescent="0.2">
      <c r="A42" s="2"/>
      <c r="B42" s="3"/>
      <c r="C42" s="3"/>
      <c r="D42" s="3" t="s">
        <v>76</v>
      </c>
      <c r="E42" s="9">
        <v>5400</v>
      </c>
      <c r="F42" s="26">
        <f>'2020 Budget vs 2020 Actual'!B46</f>
        <v>5997.06</v>
      </c>
      <c r="H42" s="10">
        <f t="shared" si="0"/>
        <v>-597.0600000000004</v>
      </c>
      <c r="I42" s="19">
        <f t="shared" si="1"/>
        <v>-9.9558783804064022E-2</v>
      </c>
      <c r="J42" s="19"/>
    </row>
    <row r="43" spans="1:10" ht="12.6" customHeight="1" x14ac:dyDescent="0.2">
      <c r="A43" s="2"/>
      <c r="B43" s="3"/>
      <c r="C43" s="3"/>
      <c r="D43" s="3" t="s">
        <v>94</v>
      </c>
      <c r="E43" s="9">
        <v>9092.25</v>
      </c>
      <c r="F43" s="26">
        <f>'2020 Budget vs 2020 Actual'!B47</f>
        <v>9042.619999999999</v>
      </c>
      <c r="H43" s="10">
        <f t="shared" si="0"/>
        <v>49.630000000001019</v>
      </c>
      <c r="I43" s="19">
        <f t="shared" si="1"/>
        <v>5.4884535676609225E-3</v>
      </c>
      <c r="J43" s="19"/>
    </row>
    <row r="44" spans="1:10" ht="12.6" customHeight="1" x14ac:dyDescent="0.2">
      <c r="A44" s="2"/>
      <c r="B44" s="3"/>
      <c r="C44" s="3"/>
      <c r="D44" s="3" t="s">
        <v>77</v>
      </c>
      <c r="E44" s="9">
        <v>3000</v>
      </c>
      <c r="F44" s="26">
        <f>'2020 Budget vs 2020 Actual'!B48</f>
        <v>3421.39</v>
      </c>
      <c r="H44" s="10">
        <f t="shared" si="0"/>
        <v>-421.38999999999987</v>
      </c>
      <c r="I44" s="19">
        <f t="shared" si="1"/>
        <v>-0.12316339265620113</v>
      </c>
      <c r="J44" s="19"/>
    </row>
    <row r="45" spans="1:10" ht="12.6" customHeight="1" x14ac:dyDescent="0.2">
      <c r="A45" s="2"/>
      <c r="B45" s="3"/>
      <c r="C45" s="3"/>
      <c r="D45" s="3" t="s">
        <v>78</v>
      </c>
      <c r="E45" s="9">
        <v>900</v>
      </c>
      <c r="F45" s="26">
        <f>'2020 Budget vs 2020 Actual'!B49</f>
        <v>840</v>
      </c>
      <c r="H45" s="10">
        <f t="shared" si="0"/>
        <v>60</v>
      </c>
      <c r="I45" s="19">
        <f t="shared" si="1"/>
        <v>7.1428571428571397E-2</v>
      </c>
      <c r="J45" s="19"/>
    </row>
    <row r="46" spans="1:10" ht="12.6" customHeight="1" thickBot="1" x14ac:dyDescent="0.25">
      <c r="A46" s="2"/>
      <c r="B46" s="3"/>
      <c r="C46" s="3"/>
      <c r="D46" s="3" t="s">
        <v>79</v>
      </c>
      <c r="E46" s="9">
        <v>1950</v>
      </c>
      <c r="F46" s="26">
        <f>'2020 Budget vs 2020 Actual'!B50</f>
        <v>3402.05</v>
      </c>
      <c r="H46" s="10">
        <f t="shared" si="0"/>
        <v>-1452.0500000000002</v>
      </c>
      <c r="I46" s="19">
        <f t="shared" si="1"/>
        <v>-0.42681618435943036</v>
      </c>
      <c r="J46" s="19"/>
    </row>
    <row r="47" spans="1:10" ht="12.6" customHeight="1" x14ac:dyDescent="0.2">
      <c r="A47" s="2"/>
      <c r="B47" s="3"/>
      <c r="C47" s="3" t="s">
        <v>80</v>
      </c>
      <c r="D47" s="3"/>
      <c r="E47" s="21">
        <f>SUM(E41:E46)</f>
        <v>38709.5</v>
      </c>
      <c r="F47" s="22">
        <f>SUM(F41:F46)</f>
        <v>41251.520000000004</v>
      </c>
      <c r="H47" s="22">
        <f t="shared" si="0"/>
        <v>-2542.0200000000041</v>
      </c>
      <c r="I47" s="23">
        <f t="shared" si="1"/>
        <v>-6.1622456578569795E-2</v>
      </c>
      <c r="J47" s="24"/>
    </row>
    <row r="48" spans="1:10" ht="12.6" customHeight="1" x14ac:dyDescent="0.2">
      <c r="A48" s="2"/>
      <c r="B48" s="3"/>
      <c r="C48" s="3" t="s">
        <v>81</v>
      </c>
      <c r="D48" s="3"/>
      <c r="E48" s="8"/>
      <c r="F48" s="10"/>
      <c r="G48" s="10"/>
      <c r="H48" s="10"/>
      <c r="I48" s="10"/>
      <c r="J48" s="10"/>
    </row>
    <row r="49" spans="1:241" ht="12.6" customHeight="1" x14ac:dyDescent="0.2">
      <c r="A49" s="2"/>
      <c r="B49" s="3"/>
      <c r="C49" s="3"/>
      <c r="D49" s="3" t="s">
        <v>82</v>
      </c>
      <c r="E49" s="9">
        <v>-3000</v>
      </c>
      <c r="F49" s="26">
        <f>'2020 Budget vs 2020 Actual'!B53</f>
        <v>-19823.82</v>
      </c>
      <c r="H49" s="10">
        <f t="shared" si="0"/>
        <v>16823.82</v>
      </c>
      <c r="I49" s="19">
        <f t="shared" si="1"/>
        <v>-0.8486669067818412</v>
      </c>
      <c r="J49" s="19"/>
    </row>
    <row r="50" spans="1:241" ht="12.6" customHeight="1" x14ac:dyDescent="0.2">
      <c r="A50" s="2"/>
      <c r="B50" s="3"/>
      <c r="C50" s="3"/>
      <c r="D50" s="3" t="s">
        <v>83</v>
      </c>
      <c r="E50" s="9">
        <v>27599.5</v>
      </c>
      <c r="F50" s="26">
        <f>'2020 Budget vs 2020 Actual'!B54</f>
        <v>28327.87</v>
      </c>
      <c r="H50" s="10">
        <f t="shared" si="0"/>
        <v>-728.36999999999898</v>
      </c>
      <c r="I50" s="19">
        <f t="shared" si="1"/>
        <v>-2.5712134375087126E-2</v>
      </c>
      <c r="J50" s="19"/>
    </row>
    <row r="51" spans="1:241" ht="12.6" customHeight="1" x14ac:dyDescent="0.2">
      <c r="A51" s="2"/>
      <c r="B51" s="3"/>
      <c r="C51" s="3"/>
      <c r="D51" s="3" t="s">
        <v>84</v>
      </c>
      <c r="E51" s="9">
        <v>8399.5</v>
      </c>
      <c r="F51" s="26">
        <f>'2020 Budget vs 2020 Actual'!B55</f>
        <v>7112.35</v>
      </c>
      <c r="H51" s="10">
        <f t="shared" si="0"/>
        <v>1287.1499999999996</v>
      </c>
      <c r="I51" s="19">
        <f t="shared" si="1"/>
        <v>0.18097393969644338</v>
      </c>
      <c r="J51" s="19"/>
    </row>
    <row r="52" spans="1:241" ht="12.6" customHeight="1" x14ac:dyDescent="0.2">
      <c r="A52" s="2"/>
      <c r="B52" s="3"/>
      <c r="C52" s="3"/>
      <c r="D52" s="3" t="s">
        <v>85</v>
      </c>
      <c r="E52" s="9">
        <v>7200</v>
      </c>
      <c r="F52" s="26">
        <f>'2020 Budget vs 2020 Actual'!B56</f>
        <v>7801</v>
      </c>
      <c r="H52" s="10">
        <f t="shared" si="0"/>
        <v>-601</v>
      </c>
      <c r="I52" s="19">
        <f t="shared" si="1"/>
        <v>-7.7041404948083536E-2</v>
      </c>
      <c r="J52" s="19"/>
    </row>
    <row r="53" spans="1:241" ht="12.6" customHeight="1" thickBot="1" x14ac:dyDescent="0.25">
      <c r="A53" s="2"/>
      <c r="B53" s="3"/>
      <c r="C53" s="3"/>
      <c r="D53" s="3" t="s">
        <v>86</v>
      </c>
      <c r="E53" s="9">
        <v>-6000</v>
      </c>
      <c r="F53" s="26">
        <f>'2020 Budget vs 2020 Actual'!B57</f>
        <v>-17789.47</v>
      </c>
      <c r="H53" s="10">
        <f t="shared" si="0"/>
        <v>11789.470000000001</v>
      </c>
      <c r="I53" s="19">
        <f t="shared" si="1"/>
        <v>-0.66272182364061438</v>
      </c>
      <c r="J53" s="19"/>
    </row>
    <row r="54" spans="1:241" ht="12.6" customHeight="1" thickBot="1" x14ac:dyDescent="0.25">
      <c r="A54" s="2"/>
      <c r="B54" s="3"/>
      <c r="C54" s="3" t="s">
        <v>87</v>
      </c>
      <c r="D54" s="3"/>
      <c r="E54" s="21">
        <f>SUM(E49:E53)</f>
        <v>34199</v>
      </c>
      <c r="F54" s="22">
        <f>SUM(F49:F53)</f>
        <v>5627.93</v>
      </c>
      <c r="H54" s="22">
        <f t="shared" si="0"/>
        <v>28571.07</v>
      </c>
      <c r="I54" s="23">
        <f t="shared" si="1"/>
        <v>5.076656959130621</v>
      </c>
      <c r="J54" s="24"/>
    </row>
    <row r="55" spans="1:241" ht="12.6" customHeight="1" thickBot="1" x14ac:dyDescent="0.25">
      <c r="A55" s="2"/>
      <c r="B55" s="3" t="s">
        <v>88</v>
      </c>
      <c r="C55" s="3"/>
      <c r="D55" s="3"/>
      <c r="E55" s="22">
        <f>E14+E22+E29+E36+E39+E47+E54</f>
        <v>335062.5</v>
      </c>
      <c r="F55" s="22">
        <f>F14+F22+F29+F36+F39+F47+F54</f>
        <v>322822.30000000005</v>
      </c>
      <c r="H55" s="22">
        <f t="shared" si="0"/>
        <v>12240.199999999953</v>
      </c>
      <c r="I55" s="23">
        <f t="shared" si="1"/>
        <v>3.7916215825238631E-2</v>
      </c>
      <c r="J55" s="24"/>
    </row>
    <row r="56" spans="1:241" ht="12.6" customHeight="1" thickBot="1" x14ac:dyDescent="0.25">
      <c r="A56" s="3" t="s">
        <v>2</v>
      </c>
      <c r="B56" s="3"/>
      <c r="C56" s="3"/>
      <c r="D56" s="3"/>
      <c r="E56" s="42">
        <f>E12-E55</f>
        <v>-36709</v>
      </c>
      <c r="F56" s="12">
        <f>F12-F55</f>
        <v>116037.17999999993</v>
      </c>
      <c r="H56" s="12">
        <f t="shared" si="0"/>
        <v>-152746.17999999993</v>
      </c>
      <c r="I56" s="20">
        <f t="shared" si="1"/>
        <v>-1.3163554991598385</v>
      </c>
      <c r="J56" s="24"/>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row>
    <row r="57" spans="1:241" ht="13.5" thickTop="1" x14ac:dyDescent="0.2"/>
    <row r="61" spans="1:241" x14ac:dyDescent="0.2">
      <c r="F61" s="11"/>
      <c r="G61" s="11"/>
    </row>
  </sheetData>
  <mergeCells count="2">
    <mergeCell ref="D2:I2"/>
    <mergeCell ref="D1:I1"/>
  </mergeCells>
  <printOptions horizontalCentered="1"/>
  <pageMargins left="0.25" right="0.25" top="0.5" bottom="0.25" header="0.3" footer="0.3"/>
  <pageSetup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Overview</vt:lpstr>
      <vt:lpstr>2020 Budget vs 2020 Actual</vt:lpstr>
      <vt:lpstr>2019 Balance vs 2020 Balance</vt:lpstr>
      <vt:lpstr>2021 Budget vs 2020 Actual</vt:lpstr>
      <vt:lpstr>Overview!Print_Area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McDermott</dc:creator>
  <cp:lastModifiedBy>St. Paul's</cp:lastModifiedBy>
  <cp:lastPrinted>2021-01-26T23:34:35Z</cp:lastPrinted>
  <dcterms:created xsi:type="dcterms:W3CDTF">2012-01-09T06:03:35Z</dcterms:created>
  <dcterms:modified xsi:type="dcterms:W3CDTF">2021-01-26T23:44:58Z</dcterms:modified>
</cp:coreProperties>
</file>